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updateLinks="never" defaultThemeVersion="166925"/>
  <mc:AlternateContent xmlns:mc="http://schemas.openxmlformats.org/markup-compatibility/2006">
    <mc:Choice Requires="x15">
      <x15ac:absPath xmlns:x15ac="http://schemas.microsoft.com/office/spreadsheetml/2010/11/ac" url="C:\Users\jaudet\Desktop\"/>
    </mc:Choice>
  </mc:AlternateContent>
  <xr:revisionPtr revIDLastSave="0" documentId="13_ncr:1_{A9E1C7B9-D5CD-4A71-AC94-94EADE79C125}" xr6:coauthVersionLast="43" xr6:coauthVersionMax="43" xr10:uidLastSave="{00000000-0000-0000-0000-000000000000}"/>
  <bookViews>
    <workbookView xWindow="-28920" yWindow="-120" windowWidth="29040" windowHeight="16440" tabRatio="797" xr2:uid="{970D5361-AA52-4AE7-A110-810452D28797}"/>
  </bookViews>
  <sheets>
    <sheet name="GRI Content Index" sheetId="24" r:id="rId1"/>
    <sheet name="Economic Contributions" sheetId="22" r:id="rId2"/>
    <sheet name="Workforce Composition" sheetId="12" r:id="rId3"/>
    <sheet name="Local Employment" sheetId="5" r:id="rId4"/>
    <sheet name="Turnover" sheetId="10" r:id="rId5"/>
    <sheet name="Injuries" sheetId="11" r:id="rId6"/>
    <sheet name="Water" sheetId="16" r:id="rId7"/>
    <sheet name="Energy Use" sheetId="17" r:id="rId8"/>
    <sheet name="Greenhouse Gases" sheetId="18" r:id="rId9"/>
    <sheet name="Air Emissions" sheetId="19" r:id="rId10"/>
    <sheet name="Mine Waste" sheetId="20" r:id="rId11"/>
    <sheet name="Materials" sheetId="21" r:id="rId12"/>
  </sheets>
  <externalReferences>
    <externalReference r:id="rId13"/>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5" i="18" l="1"/>
  <c r="G4" i="18"/>
  <c r="H4" i="18"/>
  <c r="BD7" i="16"/>
  <c r="BE7" i="16"/>
  <c r="BC7" i="16"/>
  <c r="AW7" i="16"/>
  <c r="AT7" i="16"/>
  <c r="AS7" i="16"/>
  <c r="AR7" i="16"/>
  <c r="AP7" i="16"/>
  <c r="AO7" i="16"/>
  <c r="AK7" i="16"/>
  <c r="AJ7" i="16"/>
  <c r="AI7" i="16"/>
  <c r="AH7" i="16"/>
  <c r="AG7" i="16"/>
  <c r="AF7" i="16"/>
  <c r="AE7" i="16"/>
  <c r="AC7" i="16"/>
  <c r="AB7" i="16"/>
  <c r="AA7" i="16"/>
  <c r="Z7" i="16"/>
  <c r="Y7" i="16"/>
  <c r="X7" i="16"/>
  <c r="V7" i="16"/>
  <c r="U7" i="16"/>
  <c r="R7" i="16"/>
  <c r="Q7" i="16"/>
  <c r="P7" i="16"/>
  <c r="O7" i="16"/>
  <c r="N7" i="16"/>
  <c r="M7" i="16"/>
  <c r="L7" i="16"/>
  <c r="K7" i="16"/>
  <c r="H7" i="16"/>
  <c r="F7" i="16"/>
  <c r="E7" i="16"/>
  <c r="D7" i="16"/>
  <c r="BE6" i="16"/>
  <c r="BD6" i="16"/>
  <c r="BC6" i="16"/>
  <c r="AW6" i="16"/>
  <c r="AT6" i="16"/>
  <c r="AS6" i="16"/>
  <c r="AR6" i="16"/>
  <c r="AP6" i="16"/>
  <c r="AO6" i="16"/>
  <c r="AN6" i="16"/>
  <c r="AK6" i="16"/>
  <c r="AJ6" i="16"/>
  <c r="AI6" i="16"/>
  <c r="AH6" i="16"/>
  <c r="AG6" i="16"/>
  <c r="AF6" i="16"/>
  <c r="AE6" i="16"/>
  <c r="AC6" i="16"/>
  <c r="AB6" i="16"/>
  <c r="AA6" i="16"/>
  <c r="Z6" i="16"/>
  <c r="Y6" i="16"/>
  <c r="X6" i="16"/>
  <c r="W6" i="16"/>
  <c r="V6" i="16"/>
  <c r="U6" i="16"/>
  <c r="R6" i="16"/>
  <c r="Q6" i="16"/>
  <c r="P6" i="16"/>
  <c r="O6" i="16"/>
  <c r="N6" i="16"/>
  <c r="M6" i="16"/>
  <c r="L6" i="16"/>
  <c r="K6" i="16"/>
  <c r="I6" i="16"/>
  <c r="H6" i="16"/>
  <c r="G6" i="16"/>
  <c r="F6" i="16"/>
  <c r="E6" i="16"/>
  <c r="D6" i="16"/>
  <c r="C6" i="16"/>
  <c r="B6" i="16"/>
  <c r="P3" i="12" l="1"/>
  <c r="AW37" i="16" l="1"/>
  <c r="H30" i="18" l="1"/>
  <c r="K30" i="18"/>
  <c r="S4" i="17" l="1"/>
  <c r="B29" i="17"/>
  <c r="O4" i="17"/>
  <c r="Q10" i="17"/>
  <c r="P4" i="17"/>
  <c r="Q4" i="17"/>
  <c r="R4" i="17"/>
  <c r="P3" i="17"/>
  <c r="Q3" i="17"/>
  <c r="R3" i="17"/>
  <c r="S3" i="17"/>
  <c r="T3" i="17"/>
  <c r="U3" i="17"/>
  <c r="V3" i="17"/>
  <c r="O3" i="17"/>
  <c r="T4" i="17"/>
  <c r="U4" i="17"/>
  <c r="V4" i="17"/>
  <c r="C15" i="18"/>
  <c r="I8" i="18"/>
  <c r="K8" i="18"/>
  <c r="K5" i="18" s="1"/>
  <c r="K20" i="18"/>
  <c r="K18" i="18"/>
  <c r="K15" i="18"/>
  <c r="I5" i="18"/>
  <c r="I4" i="18" s="1"/>
  <c r="I30" i="18"/>
  <c r="K31" i="18"/>
  <c r="I31" i="18"/>
  <c r="BC21" i="16"/>
  <c r="BC26" i="16"/>
  <c r="BE37" i="16"/>
  <c r="BC37" i="16"/>
  <c r="J4" i="17"/>
  <c r="J29" i="17"/>
  <c r="L29" i="17"/>
  <c r="J34" i="17"/>
  <c r="L30" i="17"/>
  <c r="J30" i="17"/>
  <c r="J37" i="17"/>
  <c r="BG43" i="16" l="1"/>
  <c r="AQ41" i="16"/>
  <c r="AQ39" i="16"/>
  <c r="AQ38" i="16"/>
  <c r="AV38" i="16" s="1"/>
  <c r="AD38" i="16"/>
  <c r="J38" i="16"/>
  <c r="T38" i="16" s="1"/>
  <c r="AX38" i="16" s="1"/>
  <c r="AQ37" i="16" l="1"/>
  <c r="BG37" i="16"/>
  <c r="E30" i="18"/>
  <c r="D36" i="18"/>
  <c r="B31" i="18"/>
  <c r="B35" i="18"/>
  <c r="B30" i="18"/>
  <c r="I21" i="24" l="1"/>
  <c r="F12" i="20" l="1"/>
  <c r="E12" i="20"/>
  <c r="D12" i="20"/>
  <c r="C12" i="20"/>
  <c r="B12" i="20"/>
  <c r="B19" i="19"/>
  <c r="B14" i="19"/>
  <c r="F29" i="17"/>
  <c r="E29" i="17"/>
  <c r="E37" i="17"/>
  <c r="O21" i="16"/>
  <c r="X47" i="5"/>
  <c r="O9" i="5"/>
  <c r="O35" i="5"/>
  <c r="Q47" i="5"/>
  <c r="O47" i="5"/>
  <c r="J47" i="5"/>
  <c r="H47" i="5"/>
  <c r="F47" i="5"/>
  <c r="B47" i="5"/>
  <c r="B20" i="5"/>
  <c r="G5" i="5"/>
  <c r="E5" i="5"/>
  <c r="B5" i="5"/>
  <c r="F15" i="5"/>
  <c r="D15" i="5"/>
  <c r="B15" i="5"/>
  <c r="F9" i="5"/>
  <c r="AB9" i="5"/>
  <c r="Z9" i="5"/>
  <c r="X9" i="5"/>
  <c r="M9" i="5"/>
  <c r="K9" i="5"/>
  <c r="H9" i="5"/>
  <c r="M35" i="5"/>
  <c r="K35" i="5"/>
  <c r="H35" i="5"/>
  <c r="F35" i="5"/>
  <c r="B35" i="5"/>
  <c r="D35" i="5"/>
  <c r="B9" i="12"/>
  <c r="F15" i="22"/>
  <c r="F5" i="22"/>
  <c r="D6" i="22"/>
  <c r="B4" i="10"/>
  <c r="B3" i="10" s="1"/>
  <c r="B2" i="10" s="1"/>
  <c r="C46" i="10"/>
  <c r="B46" i="10"/>
  <c r="G34" i="10"/>
  <c r="E34" i="10"/>
  <c r="C34" i="10"/>
  <c r="B34" i="10"/>
  <c r="B19" i="10"/>
  <c r="G14" i="10"/>
  <c r="E14" i="10"/>
  <c r="C14" i="10"/>
  <c r="B14" i="10"/>
  <c r="G8" i="10"/>
  <c r="E8" i="10"/>
  <c r="C8" i="10"/>
  <c r="B8" i="10"/>
  <c r="G47" i="12" l="1"/>
  <c r="G20" i="12"/>
  <c r="G15" i="12"/>
  <c r="G9" i="12"/>
  <c r="K9" i="12" s="1"/>
  <c r="G5" i="12"/>
  <c r="B5" i="12"/>
  <c r="AM9" i="12"/>
  <c r="AK9" i="12"/>
  <c r="AH9" i="12"/>
  <c r="AF9" i="12"/>
  <c r="AC9" i="12"/>
  <c r="AA9" i="12"/>
  <c r="X9" i="12"/>
  <c r="V9" i="12"/>
  <c r="S9" i="12"/>
  <c r="Q9" i="12"/>
  <c r="N9" i="12"/>
  <c r="L9" i="12"/>
  <c r="I9" i="12"/>
  <c r="S35" i="12"/>
  <c r="U35" i="12"/>
  <c r="Q35" i="12"/>
  <c r="N35" i="12"/>
  <c r="L35" i="12"/>
  <c r="I35" i="12"/>
  <c r="G35" i="12"/>
  <c r="B35" i="12" s="1"/>
  <c r="L30" i="11" l="1"/>
  <c r="Y30" i="11" l="1"/>
  <c r="M30" i="11" s="1"/>
  <c r="AI44" i="11" l="1"/>
  <c r="AG44" i="11"/>
  <c r="AE44" i="11"/>
  <c r="AC44" i="11"/>
  <c r="AB44" i="11"/>
  <c r="AA44" i="11"/>
  <c r="W44" i="11"/>
  <c r="U44" i="11"/>
  <c r="S44" i="11"/>
  <c r="P44" i="11"/>
  <c r="Q44" i="11" s="1"/>
  <c r="O44" i="11"/>
  <c r="L44" i="11"/>
  <c r="L43" i="11" s="1"/>
  <c r="K44" i="11"/>
  <c r="H44" i="11"/>
  <c r="G44" i="11"/>
  <c r="C44" i="11"/>
  <c r="B44" i="11"/>
  <c r="B43" i="11" s="1"/>
  <c r="AK43" i="11"/>
  <c r="AJ43" i="11"/>
  <c r="AH43" i="11"/>
  <c r="AF43" i="11"/>
  <c r="AD43" i="11"/>
  <c r="Z43" i="11"/>
  <c r="Y43" i="11"/>
  <c r="Y37" i="11" s="1"/>
  <c r="X43" i="11"/>
  <c r="V43" i="11"/>
  <c r="T43" i="11"/>
  <c r="R43" i="11"/>
  <c r="N43" i="11"/>
  <c r="M43" i="11"/>
  <c r="J43" i="11"/>
  <c r="F43" i="11"/>
  <c r="AI42" i="11"/>
  <c r="AG42" i="11"/>
  <c r="AE42" i="11"/>
  <c r="AB42" i="11"/>
  <c r="AC42" i="11" s="1"/>
  <c r="AA42" i="11"/>
  <c r="W42" i="11"/>
  <c r="U42" i="11"/>
  <c r="S42" i="11"/>
  <c r="P42" i="11"/>
  <c r="Q42" i="11" s="1"/>
  <c r="O42" i="11"/>
  <c r="M42" i="11"/>
  <c r="L42" i="11"/>
  <c r="H42" i="11"/>
  <c r="H41" i="11" s="1"/>
  <c r="G42" i="11"/>
  <c r="F42" i="11"/>
  <c r="B42" i="11"/>
  <c r="C42" i="11" s="1"/>
  <c r="AK41" i="11"/>
  <c r="AA41" i="11" s="1"/>
  <c r="AJ41" i="11"/>
  <c r="AH41" i="11"/>
  <c r="AF41" i="11"/>
  <c r="AD41" i="11"/>
  <c r="AB41" i="11"/>
  <c r="Z41" i="11"/>
  <c r="Y41" i="11"/>
  <c r="X41" i="11"/>
  <c r="W41" i="11"/>
  <c r="V41" i="11"/>
  <c r="T41" i="11"/>
  <c r="S41" i="11"/>
  <c r="R41" i="11"/>
  <c r="N41" i="11"/>
  <c r="L41" i="11"/>
  <c r="J41" i="11"/>
  <c r="J37" i="11" s="1"/>
  <c r="F41" i="11"/>
  <c r="F37" i="11" s="1"/>
  <c r="B41" i="11"/>
  <c r="AI40" i="11"/>
  <c r="AG40" i="11"/>
  <c r="AE40" i="11"/>
  <c r="AB40" i="11"/>
  <c r="AC40" i="11" s="1"/>
  <c r="AA40" i="11"/>
  <c r="W40" i="11"/>
  <c r="U40" i="11"/>
  <c r="S40" i="11"/>
  <c r="P40" i="11"/>
  <c r="Q40" i="11" s="1"/>
  <c r="O40" i="11"/>
  <c r="M40" i="11"/>
  <c r="L40" i="11"/>
  <c r="L38" i="11" s="1"/>
  <c r="I40" i="11"/>
  <c r="H40" i="11"/>
  <c r="D40" i="11"/>
  <c r="E40" i="11" s="1"/>
  <c r="B40" i="11"/>
  <c r="AI39" i="11"/>
  <c r="AE39" i="11"/>
  <c r="AB39" i="11"/>
  <c r="AC39" i="11" s="1"/>
  <c r="W39" i="11"/>
  <c r="S39" i="11"/>
  <c r="Q39" i="11"/>
  <c r="M39" i="11"/>
  <c r="M38" i="11" s="1"/>
  <c r="AK38" i="11"/>
  <c r="AJ38" i="11"/>
  <c r="AH38" i="11"/>
  <c r="AF38" i="11"/>
  <c r="AD38" i="11"/>
  <c r="Z38" i="11"/>
  <c r="Y38" i="11"/>
  <c r="X38" i="11"/>
  <c r="V38" i="11"/>
  <c r="T38" i="11"/>
  <c r="U38" i="11" s="1"/>
  <c r="R38" i="11"/>
  <c r="N38" i="11"/>
  <c r="J38" i="11"/>
  <c r="I38" i="11"/>
  <c r="H38" i="11"/>
  <c r="F38" i="11"/>
  <c r="D38" i="11"/>
  <c r="E38" i="11" s="1"/>
  <c r="AI36" i="11"/>
  <c r="AG36" i="11"/>
  <c r="AE36" i="11"/>
  <c r="AA36" i="11"/>
  <c r="W36" i="11"/>
  <c r="U36" i="11"/>
  <c r="S36" i="11"/>
  <c r="Q36" i="11"/>
  <c r="P36" i="11"/>
  <c r="O36" i="11"/>
  <c r="M36" i="11"/>
  <c r="L36" i="11"/>
  <c r="J36" i="11"/>
  <c r="H36" i="11"/>
  <c r="I36" i="11" s="1"/>
  <c r="F36" i="11"/>
  <c r="B36" i="11"/>
  <c r="AK35" i="11"/>
  <c r="AJ35" i="11"/>
  <c r="AH35" i="11"/>
  <c r="AF35" i="11"/>
  <c r="AD35" i="11"/>
  <c r="Z35" i="11"/>
  <c r="Y35" i="11"/>
  <c r="X35" i="11"/>
  <c r="V35" i="11"/>
  <c r="U35" i="11"/>
  <c r="T35" i="11"/>
  <c r="R35" i="11"/>
  <c r="F35" i="11" s="1"/>
  <c r="N35" i="11"/>
  <c r="J35" i="11"/>
  <c r="AI34" i="11"/>
  <c r="AG34" i="11"/>
  <c r="AE34" i="11"/>
  <c r="AB34" i="11"/>
  <c r="AC34" i="11" s="1"/>
  <c r="AA34" i="11"/>
  <c r="W34" i="11"/>
  <c r="U34" i="11"/>
  <c r="S34" i="11"/>
  <c r="Q34" i="11"/>
  <c r="P34" i="11"/>
  <c r="O34" i="11"/>
  <c r="M34" i="11"/>
  <c r="L34" i="11"/>
  <c r="J34" i="11"/>
  <c r="H34" i="11"/>
  <c r="I34" i="11" s="1"/>
  <c r="F34" i="11"/>
  <c r="B34" i="11"/>
  <c r="AK33" i="11"/>
  <c r="AJ33" i="11"/>
  <c r="AH33" i="11"/>
  <c r="AF33" i="11"/>
  <c r="AG33" i="11" s="1"/>
  <c r="AD33" i="11"/>
  <c r="Z33" i="11"/>
  <c r="B33" i="11" s="1"/>
  <c r="Y33" i="11"/>
  <c r="M33" i="11" s="1"/>
  <c r="X33" i="11"/>
  <c r="V33" i="11"/>
  <c r="T33" i="11"/>
  <c r="R33" i="11"/>
  <c r="F33" i="11" s="1"/>
  <c r="N33" i="11"/>
  <c r="J33" i="11"/>
  <c r="AI32" i="11"/>
  <c r="AG32" i="11"/>
  <c r="AE32" i="11"/>
  <c r="AB32" i="11"/>
  <c r="AC32" i="11" s="1"/>
  <c r="AA32" i="11"/>
  <c r="W32" i="11"/>
  <c r="U32" i="11"/>
  <c r="S32" i="11"/>
  <c r="Q32" i="11"/>
  <c r="P32" i="11"/>
  <c r="O32" i="11"/>
  <c r="M32" i="11"/>
  <c r="L32" i="11"/>
  <c r="J32" i="11"/>
  <c r="H32" i="11"/>
  <c r="F32" i="11"/>
  <c r="D32" i="11"/>
  <c r="E32" i="11" s="1"/>
  <c r="B32" i="11"/>
  <c r="AK31" i="11"/>
  <c r="AJ31" i="11"/>
  <c r="AH31" i="11"/>
  <c r="AB31" i="11" s="1"/>
  <c r="AC31" i="11" s="1"/>
  <c r="AG31" i="11"/>
  <c r="AF31" i="11"/>
  <c r="AD31" i="11"/>
  <c r="Z31" i="11"/>
  <c r="Y31" i="11"/>
  <c r="X31" i="11"/>
  <c r="L31" i="11" s="1"/>
  <c r="V31" i="11"/>
  <c r="J31" i="11" s="1"/>
  <c r="T31" i="11"/>
  <c r="U31" i="11" s="1"/>
  <c r="R31" i="11"/>
  <c r="N31" i="11"/>
  <c r="M31" i="11"/>
  <c r="B31" i="11"/>
  <c r="AI30" i="11"/>
  <c r="AG30" i="11"/>
  <c r="AE30" i="11"/>
  <c r="AB30" i="11"/>
  <c r="AC30" i="11" s="1"/>
  <c r="AA30" i="11"/>
  <c r="W30" i="11"/>
  <c r="U30" i="11"/>
  <c r="S30" i="11"/>
  <c r="Q30" i="11"/>
  <c r="P30" i="11"/>
  <c r="O30" i="11"/>
  <c r="J30" i="11"/>
  <c r="H30" i="11"/>
  <c r="F30" i="11"/>
  <c r="B30" i="11"/>
  <c r="AI29" i="11"/>
  <c r="AG29" i="11"/>
  <c r="AE29" i="11"/>
  <c r="AB29" i="11"/>
  <c r="AC29" i="11" s="1"/>
  <c r="AA29" i="11"/>
  <c r="W29" i="11"/>
  <c r="U29" i="11"/>
  <c r="S29" i="11"/>
  <c r="Q29" i="11"/>
  <c r="P29" i="11"/>
  <c r="O29" i="11"/>
  <c r="M29" i="11"/>
  <c r="L29" i="11"/>
  <c r="J29" i="11"/>
  <c r="H29" i="11"/>
  <c r="F29" i="11"/>
  <c r="B29" i="11"/>
  <c r="AI28" i="11"/>
  <c r="AG28" i="11"/>
  <c r="AE28" i="11"/>
  <c r="AB28" i="11"/>
  <c r="AC28" i="11" s="1"/>
  <c r="AA28" i="11"/>
  <c r="W28" i="11"/>
  <c r="U28" i="11"/>
  <c r="S28" i="11"/>
  <c r="Q28" i="11"/>
  <c r="P28" i="11"/>
  <c r="O28" i="11"/>
  <c r="M28" i="11"/>
  <c r="M27" i="11" s="1"/>
  <c r="L28" i="11"/>
  <c r="J28" i="11"/>
  <c r="H28" i="11"/>
  <c r="F28" i="11"/>
  <c r="B28" i="11"/>
  <c r="AK27" i="11"/>
  <c r="AJ27" i="11"/>
  <c r="AH27" i="11"/>
  <c r="AG27" i="11"/>
  <c r="AF27" i="11"/>
  <c r="AD27" i="11"/>
  <c r="AB27" i="11"/>
  <c r="AC27" i="11" s="1"/>
  <c r="Z27" i="11"/>
  <c r="Y27" i="11"/>
  <c r="X27" i="11"/>
  <c r="V27" i="11"/>
  <c r="J27" i="11" s="1"/>
  <c r="T27" i="11"/>
  <c r="R27" i="11"/>
  <c r="N27" i="11"/>
  <c r="B27" i="11" s="1"/>
  <c r="L27" i="11"/>
  <c r="F27" i="11"/>
  <c r="AI26" i="11"/>
  <c r="AG26" i="11"/>
  <c r="AE26" i="11"/>
  <c r="AB26" i="11"/>
  <c r="AC26" i="11" s="1"/>
  <c r="AA26" i="11"/>
  <c r="W26" i="11"/>
  <c r="U26" i="11"/>
  <c r="S26" i="11"/>
  <c r="Q26" i="11"/>
  <c r="P26" i="11"/>
  <c r="O26" i="11"/>
  <c r="M26" i="11"/>
  <c r="L26" i="11"/>
  <c r="J26" i="11"/>
  <c r="H26" i="11"/>
  <c r="I26" i="11" s="1"/>
  <c r="F26" i="11"/>
  <c r="B26" i="11"/>
  <c r="C26" i="11" s="1"/>
  <c r="AK25" i="11"/>
  <c r="AJ25" i="11"/>
  <c r="L25" i="11" s="1"/>
  <c r="AH25" i="11"/>
  <c r="J25" i="11" s="1"/>
  <c r="AF25" i="11"/>
  <c r="AB25" i="11" s="1"/>
  <c r="AD25" i="11"/>
  <c r="Z25" i="11"/>
  <c r="Y25" i="11"/>
  <c r="X25" i="11"/>
  <c r="V25" i="11"/>
  <c r="T25" i="11"/>
  <c r="U25" i="11" s="1"/>
  <c r="R25" i="11"/>
  <c r="P25" i="11"/>
  <c r="Q25" i="11" s="1"/>
  <c r="N25" i="11"/>
  <c r="B25" i="11" s="1"/>
  <c r="F25" i="11"/>
  <c r="AI24" i="11"/>
  <c r="AG24" i="11"/>
  <c r="AE24" i="11"/>
  <c r="AB24" i="11"/>
  <c r="AC24" i="11" s="1"/>
  <c r="AA24" i="11"/>
  <c r="W24" i="11"/>
  <c r="U24" i="11"/>
  <c r="S24" i="11"/>
  <c r="P24" i="11"/>
  <c r="Q24" i="11" s="1"/>
  <c r="O24" i="11"/>
  <c r="M24" i="11"/>
  <c r="I24" i="11" s="1"/>
  <c r="L24" i="11"/>
  <c r="J24" i="11"/>
  <c r="K24" i="11" s="1"/>
  <c r="H24" i="11"/>
  <c r="F24" i="11"/>
  <c r="B24" i="11"/>
  <c r="AK23" i="11"/>
  <c r="AE23" i="11" s="1"/>
  <c r="AB23" i="11"/>
  <c r="Y23" i="11"/>
  <c r="W23" i="11" s="1"/>
  <c r="P23" i="11"/>
  <c r="L23" i="11"/>
  <c r="J23" i="11"/>
  <c r="H23" i="11"/>
  <c r="F23" i="11"/>
  <c r="B23" i="11"/>
  <c r="AI22" i="11"/>
  <c r="AG22" i="11"/>
  <c r="AE22" i="11"/>
  <c r="AC22" i="11"/>
  <c r="AB22" i="11"/>
  <c r="AA22" i="11"/>
  <c r="W22" i="11"/>
  <c r="U22" i="11"/>
  <c r="S22" i="11"/>
  <c r="P22" i="11"/>
  <c r="Q22" i="11" s="1"/>
  <c r="O22" i="11"/>
  <c r="M22" i="11"/>
  <c r="L22" i="11"/>
  <c r="J22" i="11"/>
  <c r="K22" i="11" s="1"/>
  <c r="H22" i="11"/>
  <c r="I22" i="11" s="1"/>
  <c r="F22" i="11"/>
  <c r="C22" i="11"/>
  <c r="B22" i="11"/>
  <c r="AI21" i="11"/>
  <c r="AG21" i="11"/>
  <c r="AE21" i="11"/>
  <c r="AB21" i="11"/>
  <c r="AC21" i="11" s="1"/>
  <c r="AA21" i="11"/>
  <c r="W21" i="11"/>
  <c r="U21" i="11"/>
  <c r="S21" i="11"/>
  <c r="P21" i="11"/>
  <c r="Q21" i="11" s="1"/>
  <c r="O21" i="11"/>
  <c r="M21" i="11"/>
  <c r="C21" i="11" s="1"/>
  <c r="L21" i="11"/>
  <c r="J21" i="11"/>
  <c r="H21" i="11"/>
  <c r="I21" i="11" s="1"/>
  <c r="F21" i="11"/>
  <c r="B21" i="11"/>
  <c r="AI20" i="11"/>
  <c r="AG20" i="11"/>
  <c r="AE20" i="11"/>
  <c r="AB20" i="11"/>
  <c r="AC20" i="11" s="1"/>
  <c r="AA20" i="11"/>
  <c r="W20" i="11"/>
  <c r="U20" i="11"/>
  <c r="S20" i="11"/>
  <c r="P20" i="11"/>
  <c r="Q20" i="11" s="1"/>
  <c r="O20" i="11"/>
  <c r="M20" i="11"/>
  <c r="L20" i="11"/>
  <c r="J20" i="11"/>
  <c r="K20" i="11" s="1"/>
  <c r="I20" i="11"/>
  <c r="H20" i="11"/>
  <c r="F20" i="11"/>
  <c r="C20" i="11"/>
  <c r="B20" i="11"/>
  <c r="AI19" i="11"/>
  <c r="AG19" i="11"/>
  <c r="AE19" i="11"/>
  <c r="AB19" i="11"/>
  <c r="AC19" i="11" s="1"/>
  <c r="AA19" i="11"/>
  <c r="W19" i="11"/>
  <c r="U19" i="11"/>
  <c r="S19" i="11"/>
  <c r="P19" i="11"/>
  <c r="Q19" i="11" s="1"/>
  <c r="O19" i="11"/>
  <c r="M19" i="11"/>
  <c r="C19" i="11" s="1"/>
  <c r="L19" i="11"/>
  <c r="J19" i="11"/>
  <c r="H19" i="11"/>
  <c r="F19" i="11"/>
  <c r="D19" i="11" s="1"/>
  <c r="E19" i="11" s="1"/>
  <c r="B19" i="11"/>
  <c r="AI18" i="11"/>
  <c r="AG18" i="11"/>
  <c r="AE18" i="11"/>
  <c r="AB18" i="11"/>
  <c r="AC18" i="11" s="1"/>
  <c r="AA18" i="11"/>
  <c r="W18" i="11"/>
  <c r="U18" i="11"/>
  <c r="S18" i="11"/>
  <c r="P18" i="11"/>
  <c r="Q18" i="11" s="1"/>
  <c r="O18" i="11"/>
  <c r="M18" i="11"/>
  <c r="L18" i="11"/>
  <c r="J18" i="11"/>
  <c r="I18" i="11"/>
  <c r="H18" i="11"/>
  <c r="F18" i="11"/>
  <c r="B18" i="11"/>
  <c r="C18" i="11" s="1"/>
  <c r="AJ17" i="11"/>
  <c r="L17" i="11" s="1"/>
  <c r="AH17" i="11"/>
  <c r="AF17" i="11"/>
  <c r="AD17" i="11"/>
  <c r="Z17" i="11"/>
  <c r="X17" i="11"/>
  <c r="V17" i="11"/>
  <c r="T17" i="11"/>
  <c r="R17" i="11"/>
  <c r="N17" i="11"/>
  <c r="H17" i="11"/>
  <c r="AK16" i="11"/>
  <c r="AI16" i="11" s="1"/>
  <c r="AB16" i="11"/>
  <c r="Y16" i="11"/>
  <c r="W16" i="11" s="1"/>
  <c r="P16" i="11"/>
  <c r="L16" i="11"/>
  <c r="J16" i="11"/>
  <c r="H16" i="11"/>
  <c r="F16" i="11"/>
  <c r="D16" i="11" s="1"/>
  <c r="B16" i="11"/>
  <c r="AI15" i="11"/>
  <c r="AG15" i="11"/>
  <c r="AE15" i="11"/>
  <c r="AB15" i="11"/>
  <c r="AC15" i="11" s="1"/>
  <c r="AA15" i="11"/>
  <c r="W15" i="11"/>
  <c r="U15" i="11"/>
  <c r="S15" i="11"/>
  <c r="P15" i="11"/>
  <c r="Q15" i="11" s="1"/>
  <c r="O15" i="11"/>
  <c r="M15" i="11"/>
  <c r="L15" i="11"/>
  <c r="K15" i="11"/>
  <c r="J15" i="11"/>
  <c r="H15" i="11"/>
  <c r="I15" i="11" s="1"/>
  <c r="F15" i="11"/>
  <c r="D15" i="11" s="1"/>
  <c r="E15" i="11" s="1"/>
  <c r="B15" i="11"/>
  <c r="C15" i="11" s="1"/>
  <c r="AJ14" i="11"/>
  <c r="L14" i="11" s="1"/>
  <c r="AH14" i="11"/>
  <c r="AB14" i="11" s="1"/>
  <c r="AF14" i="11"/>
  <c r="AD14" i="11"/>
  <c r="Z14" i="11"/>
  <c r="X14" i="11"/>
  <c r="V14" i="11"/>
  <c r="T14" i="11"/>
  <c r="H14" i="11" s="1"/>
  <c r="R14" i="11"/>
  <c r="P14" i="11" s="1"/>
  <c r="N14" i="11"/>
  <c r="B14" i="11" s="1"/>
  <c r="AI13" i="11"/>
  <c r="AG13" i="11"/>
  <c r="AE13" i="11"/>
  <c r="AB13" i="11"/>
  <c r="AC13" i="11" s="1"/>
  <c r="AA13" i="11"/>
  <c r="W13" i="11"/>
  <c r="U13" i="11"/>
  <c r="S13" i="11"/>
  <c r="P13" i="11"/>
  <c r="Q13" i="11" s="1"/>
  <c r="O13" i="11"/>
  <c r="M13" i="11"/>
  <c r="K13" i="11" s="1"/>
  <c r="L13" i="11"/>
  <c r="J13" i="11"/>
  <c r="I13" i="11"/>
  <c r="H13" i="11"/>
  <c r="D13" i="11" s="1"/>
  <c r="E13" i="11" s="1"/>
  <c r="F13" i="11"/>
  <c r="B13" i="11"/>
  <c r="AI12" i="11"/>
  <c r="AG12" i="11"/>
  <c r="AE12" i="11"/>
  <c r="AB12" i="11"/>
  <c r="AC12" i="11" s="1"/>
  <c r="AA12" i="11"/>
  <c r="W12" i="11"/>
  <c r="U12" i="11"/>
  <c r="S12" i="11"/>
  <c r="Q12" i="11"/>
  <c r="P12" i="11"/>
  <c r="O12" i="11"/>
  <c r="M12" i="11"/>
  <c r="K12" i="11" s="1"/>
  <c r="L12" i="11"/>
  <c r="J12" i="11"/>
  <c r="H12" i="11"/>
  <c r="F12" i="11"/>
  <c r="D12" i="11" s="1"/>
  <c r="E12" i="11" s="1"/>
  <c r="B12" i="11"/>
  <c r="AI11" i="11"/>
  <c r="AG11" i="11"/>
  <c r="AE11" i="11"/>
  <c r="AB11" i="11"/>
  <c r="AC11" i="11" s="1"/>
  <c r="AA11" i="11"/>
  <c r="W11" i="11"/>
  <c r="U11" i="11"/>
  <c r="S11" i="11"/>
  <c r="P11" i="11"/>
  <c r="Q11" i="11" s="1"/>
  <c r="O11" i="11"/>
  <c r="M11" i="11"/>
  <c r="L11" i="11"/>
  <c r="J11" i="11"/>
  <c r="K11" i="11" s="1"/>
  <c r="I11" i="11"/>
  <c r="H11" i="11"/>
  <c r="F11" i="11"/>
  <c r="D11" i="11" s="1"/>
  <c r="E11" i="11" s="1"/>
  <c r="B11" i="11"/>
  <c r="C11" i="11" s="1"/>
  <c r="AI10" i="11"/>
  <c r="AG10" i="11"/>
  <c r="AE10" i="11"/>
  <c r="AB10" i="11"/>
  <c r="AC10" i="11" s="1"/>
  <c r="AA10" i="11"/>
  <c r="W10" i="11"/>
  <c r="U10" i="11"/>
  <c r="S10" i="11"/>
  <c r="Q10" i="11"/>
  <c r="P10" i="11"/>
  <c r="O10" i="11"/>
  <c r="M10" i="11"/>
  <c r="L10" i="11"/>
  <c r="J10" i="11"/>
  <c r="K10" i="11" s="1"/>
  <c r="H10" i="11"/>
  <c r="G10" i="11"/>
  <c r="F10" i="11"/>
  <c r="D10" i="11"/>
  <c r="E10" i="11" s="1"/>
  <c r="B10" i="11"/>
  <c r="C10" i="11" s="1"/>
  <c r="AK9" i="11"/>
  <c r="AJ9" i="11"/>
  <c r="L9" i="11" s="1"/>
  <c r="AH9" i="11"/>
  <c r="AI9" i="11" s="1"/>
  <c r="AF9" i="11"/>
  <c r="AG9" i="11" s="1"/>
  <c r="AE9" i="11"/>
  <c r="AD9" i="11"/>
  <c r="AB9" i="11"/>
  <c r="AC9" i="11" s="1"/>
  <c r="Z9" i="11"/>
  <c r="AA9" i="11" s="1"/>
  <c r="Y9" i="11"/>
  <c r="M9" i="11" s="1"/>
  <c r="X9" i="11"/>
  <c r="V9" i="11"/>
  <c r="T9" i="11"/>
  <c r="S9" i="11"/>
  <c r="R9" i="11"/>
  <c r="O9" i="11"/>
  <c r="N9" i="11"/>
  <c r="J9" i="11"/>
  <c r="K9" i="11" s="1"/>
  <c r="G9" i="11"/>
  <c r="F9" i="11"/>
  <c r="B9" i="11"/>
  <c r="C9" i="11" s="1"/>
  <c r="AI8" i="11"/>
  <c r="AG8" i="11"/>
  <c r="AE8" i="11"/>
  <c r="AB8" i="11"/>
  <c r="AC8" i="11" s="1"/>
  <c r="AA8" i="11"/>
  <c r="W8" i="11"/>
  <c r="U8" i="11"/>
  <c r="S8" i="11"/>
  <c r="P8" i="11"/>
  <c r="Q8" i="11" s="1"/>
  <c r="O8" i="11"/>
  <c r="M8" i="11"/>
  <c r="L8" i="11"/>
  <c r="J8" i="11"/>
  <c r="I8" i="11"/>
  <c r="H8" i="11"/>
  <c r="F8" i="11"/>
  <c r="D8" i="11" s="1"/>
  <c r="E8" i="11" s="1"/>
  <c r="B8" i="11"/>
  <c r="AI7" i="11"/>
  <c r="AG7" i="11"/>
  <c r="AE7" i="11"/>
  <c r="AB7" i="11"/>
  <c r="AC7" i="11" s="1"/>
  <c r="AA7" i="11"/>
  <c r="W7" i="11"/>
  <c r="U7" i="11"/>
  <c r="S7" i="11"/>
  <c r="Q7" i="11"/>
  <c r="P7" i="11"/>
  <c r="O7" i="11"/>
  <c r="M7" i="11"/>
  <c r="L7" i="11"/>
  <c r="J7" i="11"/>
  <c r="J5" i="11" s="1"/>
  <c r="H7" i="11"/>
  <c r="I7" i="11" s="1"/>
  <c r="F7" i="11"/>
  <c r="D7" i="11"/>
  <c r="E7" i="11" s="1"/>
  <c r="B7" i="11"/>
  <c r="AI6" i="11"/>
  <c r="AG6" i="11"/>
  <c r="AE6" i="11"/>
  <c r="AB6" i="11"/>
  <c r="AC6" i="11" s="1"/>
  <c r="AA6" i="11"/>
  <c r="W6" i="11"/>
  <c r="U6" i="11"/>
  <c r="S6" i="11"/>
  <c r="P6" i="11"/>
  <c r="O6" i="11"/>
  <c r="M6" i="11"/>
  <c r="G6" i="11" s="1"/>
  <c r="L6" i="11"/>
  <c r="L5" i="11" s="1"/>
  <c r="J6" i="11"/>
  <c r="H6" i="11"/>
  <c r="I6" i="11" s="1"/>
  <c r="F6" i="11"/>
  <c r="B6" i="11"/>
  <c r="AK5" i="11"/>
  <c r="AJ5" i="11"/>
  <c r="AH5" i="11"/>
  <c r="AF5" i="11"/>
  <c r="AE5" i="11"/>
  <c r="AD5" i="11"/>
  <c r="Z5" i="11"/>
  <c r="AA5" i="11" s="1"/>
  <c r="Y5" i="11"/>
  <c r="X5" i="11"/>
  <c r="V5" i="11"/>
  <c r="W5" i="11" s="1"/>
  <c r="T5" i="11"/>
  <c r="U5" i="11" s="1"/>
  <c r="R5" i="11"/>
  <c r="S5" i="11" s="1"/>
  <c r="O5" i="11"/>
  <c r="N5" i="11"/>
  <c r="F5" i="11"/>
  <c r="AJ4" i="11"/>
  <c r="U9" i="11" l="1"/>
  <c r="H9" i="11"/>
  <c r="T4" i="11"/>
  <c r="AG5" i="11"/>
  <c r="C6" i="11"/>
  <c r="B5" i="11"/>
  <c r="P9" i="11"/>
  <c r="Q9" i="11" s="1"/>
  <c r="W9" i="11"/>
  <c r="G11" i="11"/>
  <c r="I12" i="11"/>
  <c r="J14" i="11"/>
  <c r="G15" i="11"/>
  <c r="V4" i="11"/>
  <c r="K18" i="11"/>
  <c r="I19" i="11"/>
  <c r="K21" i="11"/>
  <c r="H25" i="11"/>
  <c r="P31" i="11"/>
  <c r="Q31" i="11" s="1"/>
  <c r="F31" i="11"/>
  <c r="H33" i="11"/>
  <c r="D33" i="11" s="1"/>
  <c r="E33" i="11" s="1"/>
  <c r="D34" i="11"/>
  <c r="E34" i="11" s="1"/>
  <c r="D36" i="11"/>
  <c r="E36" i="11" s="1"/>
  <c r="G40" i="11"/>
  <c r="K40" i="11"/>
  <c r="AG41" i="11"/>
  <c r="X4" i="11"/>
  <c r="L4" i="11" s="1"/>
  <c r="AB5" i="11"/>
  <c r="AC5" i="11" s="1"/>
  <c r="AI5" i="11"/>
  <c r="K6" i="11"/>
  <c r="P5" i="11"/>
  <c r="Q5" i="11" s="1"/>
  <c r="I10" i="11"/>
  <c r="K19" i="11"/>
  <c r="D23" i="11"/>
  <c r="C24" i="11"/>
  <c r="D26" i="11"/>
  <c r="E26" i="11" s="1"/>
  <c r="AB33" i="11"/>
  <c r="AC33" i="11" s="1"/>
  <c r="B35" i="11"/>
  <c r="R37" i="11"/>
  <c r="AH37" i="11"/>
  <c r="AH3" i="11" s="1"/>
  <c r="AI41" i="11"/>
  <c r="H43" i="11"/>
  <c r="I44" i="11"/>
  <c r="D44" i="11"/>
  <c r="E44" i="11" s="1"/>
  <c r="F14" i="11"/>
  <c r="D24" i="11"/>
  <c r="E24" i="11" s="1"/>
  <c r="G24" i="11"/>
  <c r="AJ3" i="11"/>
  <c r="Z4" i="11"/>
  <c r="D21" i="11"/>
  <c r="E21" i="11" s="1"/>
  <c r="H27" i="11"/>
  <c r="I27" i="11" s="1"/>
  <c r="P27" i="11"/>
  <c r="X37" i="11"/>
  <c r="AC41" i="11"/>
  <c r="L35" i="11"/>
  <c r="N37" i="11"/>
  <c r="AD37" i="11"/>
  <c r="P43" i="11"/>
  <c r="K7" i="11"/>
  <c r="K8" i="11"/>
  <c r="N4" i="11"/>
  <c r="AH4" i="11"/>
  <c r="D18" i="11"/>
  <c r="E18" i="11" s="1"/>
  <c r="D20" i="11"/>
  <c r="E20" i="11" s="1"/>
  <c r="D22" i="11"/>
  <c r="E22" i="11" s="1"/>
  <c r="U27" i="11"/>
  <c r="H31" i="11"/>
  <c r="I32" i="11"/>
  <c r="AB36" i="11"/>
  <c r="AC36" i="11" s="1"/>
  <c r="AJ37" i="11"/>
  <c r="L37" i="11"/>
  <c r="O41" i="11"/>
  <c r="V37" i="11"/>
  <c r="Z37" i="11"/>
  <c r="AE41" i="11"/>
  <c r="Q43" i="11"/>
  <c r="Y14" i="11"/>
  <c r="U14" i="11" s="1"/>
  <c r="Q16" i="11"/>
  <c r="AA16" i="11"/>
  <c r="U23" i="11"/>
  <c r="Y17" i="11"/>
  <c r="Y4" i="11" s="1"/>
  <c r="O4" i="11" s="1"/>
  <c r="S23" i="11"/>
  <c r="AA23" i="11"/>
  <c r="S16" i="11"/>
  <c r="AK17" i="11"/>
  <c r="AA17" i="11" s="1"/>
  <c r="M16" i="11"/>
  <c r="AC16" i="11"/>
  <c r="O23" i="11"/>
  <c r="AG23" i="11"/>
  <c r="AG16" i="11"/>
  <c r="Q23" i="11"/>
  <c r="Q27" i="11"/>
  <c r="P17" i="11"/>
  <c r="R4" i="11"/>
  <c r="AI25" i="11"/>
  <c r="AE25" i="11"/>
  <c r="AA25" i="11"/>
  <c r="I30" i="11"/>
  <c r="D30" i="11"/>
  <c r="E30" i="11" s="1"/>
  <c r="K31" i="11"/>
  <c r="G31" i="11"/>
  <c r="C31" i="11"/>
  <c r="K33" i="11"/>
  <c r="G33" i="11"/>
  <c r="C33" i="11"/>
  <c r="AG35" i="11"/>
  <c r="AB35" i="11"/>
  <c r="AC35" i="11" s="1"/>
  <c r="AG38" i="11"/>
  <c r="AB38" i="11"/>
  <c r="AC38" i="11" s="1"/>
  <c r="W43" i="11"/>
  <c r="S43" i="11"/>
  <c r="O43" i="11"/>
  <c r="Q6" i="11"/>
  <c r="F17" i="11"/>
  <c r="J17" i="11"/>
  <c r="B4" i="11"/>
  <c r="G19" i="11"/>
  <c r="G21" i="11"/>
  <c r="AI23" i="11"/>
  <c r="AG25" i="11"/>
  <c r="K28" i="11"/>
  <c r="G28" i="11"/>
  <c r="C28" i="11"/>
  <c r="I31" i="11"/>
  <c r="D31" i="11"/>
  <c r="E31" i="11" s="1"/>
  <c r="L33" i="11"/>
  <c r="H35" i="11"/>
  <c r="W35" i="11"/>
  <c r="S35" i="11"/>
  <c r="O35" i="11"/>
  <c r="M35" i="11"/>
  <c r="AF37" i="11"/>
  <c r="T37" i="11"/>
  <c r="W38" i="11"/>
  <c r="S38" i="11"/>
  <c r="O38" i="11"/>
  <c r="U43" i="11"/>
  <c r="H5" i="11"/>
  <c r="D6" i="11"/>
  <c r="E6" i="11" s="1"/>
  <c r="AF4" i="11"/>
  <c r="M5" i="11"/>
  <c r="C8" i="11"/>
  <c r="G8" i="11"/>
  <c r="C13" i="11"/>
  <c r="G13" i="11"/>
  <c r="B17" i="11"/>
  <c r="M25" i="11"/>
  <c r="I25" i="11" s="1"/>
  <c r="AC25" i="11"/>
  <c r="I28" i="11"/>
  <c r="D28" i="11"/>
  <c r="E28" i="11" s="1"/>
  <c r="K29" i="11"/>
  <c r="G29" i="11"/>
  <c r="C29" i="11"/>
  <c r="K32" i="11"/>
  <c r="G32" i="11"/>
  <c r="C32" i="11"/>
  <c r="W33" i="11"/>
  <c r="S33" i="11"/>
  <c r="O33" i="11"/>
  <c r="D41" i="11"/>
  <c r="I42" i="11"/>
  <c r="D42" i="11"/>
  <c r="E42" i="11" s="1"/>
  <c r="AI43" i="11"/>
  <c r="AE43" i="11"/>
  <c r="AA43" i="11"/>
  <c r="C7" i="11"/>
  <c r="G7" i="11"/>
  <c r="C12" i="11"/>
  <c r="G12" i="11"/>
  <c r="AK14" i="11"/>
  <c r="AC14" i="11" s="1"/>
  <c r="U16" i="11"/>
  <c r="O16" i="11"/>
  <c r="AE16" i="11"/>
  <c r="AB17" i="11"/>
  <c r="AD4" i="11"/>
  <c r="G18" i="11"/>
  <c r="G20" i="11"/>
  <c r="G22" i="11"/>
  <c r="M23" i="11"/>
  <c r="AC23" i="11"/>
  <c r="D25" i="11"/>
  <c r="E25" i="11" s="1"/>
  <c r="W25" i="11"/>
  <c r="S25" i="11"/>
  <c r="O25" i="11"/>
  <c r="D27" i="11"/>
  <c r="AI27" i="11"/>
  <c r="AE27" i="11"/>
  <c r="AA27" i="11"/>
  <c r="I29" i="11"/>
  <c r="D29" i="11"/>
  <c r="E29" i="11" s="1"/>
  <c r="K30" i="11"/>
  <c r="G30" i="11"/>
  <c r="C30" i="11"/>
  <c r="U33" i="11"/>
  <c r="P33" i="11"/>
  <c r="Q33" i="11" s="1"/>
  <c r="P35" i="11"/>
  <c r="Q35" i="11" s="1"/>
  <c r="AI35" i="11"/>
  <c r="AE35" i="11"/>
  <c r="AA35" i="11"/>
  <c r="H37" i="11"/>
  <c r="P38" i="11"/>
  <c r="Q38" i="11" s="1"/>
  <c r="AI38" i="11"/>
  <c r="AE38" i="11"/>
  <c r="AA38" i="11"/>
  <c r="AK37" i="11"/>
  <c r="AA37" i="11" s="1"/>
  <c r="O37" i="11"/>
  <c r="U41" i="11"/>
  <c r="P41" i="11"/>
  <c r="Q41" i="11" s="1"/>
  <c r="AE37" i="11"/>
  <c r="AG43" i="11"/>
  <c r="AB43" i="11"/>
  <c r="AC43" i="11" s="1"/>
  <c r="W27" i="11"/>
  <c r="S27" i="11"/>
  <c r="O27" i="11"/>
  <c r="AI31" i="11"/>
  <c r="AE31" i="11"/>
  <c r="AA31" i="11"/>
  <c r="K34" i="11"/>
  <c r="G34" i="11"/>
  <c r="C34" i="11"/>
  <c r="K38" i="11"/>
  <c r="G38" i="11"/>
  <c r="E39" i="11"/>
  <c r="G39" i="11"/>
  <c r="S37" i="11"/>
  <c r="M41" i="11"/>
  <c r="I41" i="11" s="1"/>
  <c r="K42" i="11"/>
  <c r="K43" i="11"/>
  <c r="G43" i="11"/>
  <c r="C43" i="11"/>
  <c r="K26" i="11"/>
  <c r="G26" i="11"/>
  <c r="W31" i="11"/>
  <c r="S31" i="11"/>
  <c r="O31" i="11"/>
  <c r="AI33" i="11"/>
  <c r="AE33" i="11"/>
  <c r="AA33" i="11"/>
  <c r="K36" i="11"/>
  <c r="G36" i="11"/>
  <c r="C36" i="11"/>
  <c r="K39" i="11"/>
  <c r="C40" i="11"/>
  <c r="B38" i="11"/>
  <c r="W37" i="11"/>
  <c r="B19" i="17"/>
  <c r="B14" i="17"/>
  <c r="B4" i="17"/>
  <c r="B30" i="17"/>
  <c r="F30" i="17"/>
  <c r="Q14" i="11" l="1"/>
  <c r="M37" i="11"/>
  <c r="W14" i="11"/>
  <c r="D43" i="11"/>
  <c r="E43" i="11" s="1"/>
  <c r="I43" i="11"/>
  <c r="I9" i="11"/>
  <c r="D9" i="11"/>
  <c r="E9" i="11" s="1"/>
  <c r="AC17" i="11"/>
  <c r="L3" i="11"/>
  <c r="E41" i="11"/>
  <c r="I33" i="11"/>
  <c r="N3" i="11"/>
  <c r="X3" i="11"/>
  <c r="Z3" i="11"/>
  <c r="D14" i="11"/>
  <c r="J4" i="11"/>
  <c r="J3" i="11" s="1"/>
  <c r="V3" i="11"/>
  <c r="S14" i="11"/>
  <c r="O14" i="11"/>
  <c r="O17" i="11"/>
  <c r="U17" i="11"/>
  <c r="M17" i="11"/>
  <c r="I17" i="11" s="1"/>
  <c r="W17" i="11"/>
  <c r="I16" i="11"/>
  <c r="E16" i="11"/>
  <c r="K16" i="11"/>
  <c r="G16" i="11"/>
  <c r="C16" i="11"/>
  <c r="S17" i="11"/>
  <c r="Q17" i="11"/>
  <c r="AI17" i="11"/>
  <c r="AE17" i="11"/>
  <c r="AG17" i="11"/>
  <c r="W4" i="11"/>
  <c r="U4" i="11"/>
  <c r="Y3" i="11"/>
  <c r="E27" i="11"/>
  <c r="B37" i="11"/>
  <c r="C38" i="11"/>
  <c r="AD3" i="11"/>
  <c r="AI37" i="11"/>
  <c r="AG37" i="11"/>
  <c r="AB37" i="11" s="1"/>
  <c r="AC37" i="11" s="1"/>
  <c r="D37" i="11"/>
  <c r="E37" i="11" s="1"/>
  <c r="M14" i="11"/>
  <c r="AK4" i="11"/>
  <c r="AG4" i="11" s="1"/>
  <c r="AI14" i="11"/>
  <c r="AE14" i="11"/>
  <c r="AA14" i="11"/>
  <c r="I5" i="11"/>
  <c r="D5" i="11"/>
  <c r="E5" i="11" s="1"/>
  <c r="K35" i="11"/>
  <c r="G35" i="11"/>
  <c r="C35" i="11"/>
  <c r="K27" i="11"/>
  <c r="G27" i="11"/>
  <c r="C27" i="11"/>
  <c r="I23" i="11"/>
  <c r="E23" i="11"/>
  <c r="C23" i="11"/>
  <c r="K23" i="11"/>
  <c r="G23" i="11"/>
  <c r="K25" i="11"/>
  <c r="G25" i="11"/>
  <c r="C25" i="11"/>
  <c r="AF3" i="11"/>
  <c r="H4" i="11"/>
  <c r="U37" i="11"/>
  <c r="P37" i="11"/>
  <c r="Q37" i="11" s="1"/>
  <c r="T3" i="11"/>
  <c r="F4" i="11"/>
  <c r="R3" i="11"/>
  <c r="S4" i="11"/>
  <c r="AB4" i="11"/>
  <c r="B3" i="11"/>
  <c r="D35" i="11"/>
  <c r="E35" i="11" s="1"/>
  <c r="I35" i="11"/>
  <c r="AG14" i="11"/>
  <c r="P4" i="11"/>
  <c r="K41" i="11"/>
  <c r="G41" i="11"/>
  <c r="C41" i="11"/>
  <c r="K5" i="11"/>
  <c r="G5" i="11"/>
  <c r="C5" i="11"/>
  <c r="D17" i="11"/>
  <c r="C29" i="17"/>
  <c r="C17" i="11" l="1"/>
  <c r="G17" i="11"/>
  <c r="E17" i="11"/>
  <c r="U3" i="11"/>
  <c r="K17" i="11"/>
  <c r="O3" i="11"/>
  <c r="W3" i="11"/>
  <c r="S3" i="11"/>
  <c r="Q4" i="11"/>
  <c r="P3" i="11"/>
  <c r="Q3" i="11" s="1"/>
  <c r="K37" i="11"/>
  <c r="G37" i="11"/>
  <c r="H3" i="11"/>
  <c r="C37" i="11"/>
  <c r="AK3" i="11"/>
  <c r="AA4" i="11"/>
  <c r="AI4" i="11"/>
  <c r="M4" i="11"/>
  <c r="G4" i="11" s="1"/>
  <c r="F3" i="11"/>
  <c r="D4" i="11"/>
  <c r="K14" i="11"/>
  <c r="G14" i="11"/>
  <c r="C14" i="11"/>
  <c r="I14" i="11"/>
  <c r="E14" i="11"/>
  <c r="AC4" i="11"/>
  <c r="AB3" i="11"/>
  <c r="I37" i="11"/>
  <c r="AE4" i="11"/>
  <c r="X46" i="5"/>
  <c r="X4" i="5"/>
  <c r="T9" i="5"/>
  <c r="V9" i="5"/>
  <c r="V4" i="5" s="1"/>
  <c r="T4" i="5"/>
  <c r="Z44" i="5"/>
  <c r="Z42" i="5"/>
  <c r="Z40" i="5"/>
  <c r="Z35" i="5"/>
  <c r="X35" i="5"/>
  <c r="V35" i="5"/>
  <c r="Z5" i="5"/>
  <c r="X5" i="5"/>
  <c r="V5" i="5"/>
  <c r="T5" i="5"/>
  <c r="AA3" i="11" l="1"/>
  <c r="AI3" i="11"/>
  <c r="K4" i="11"/>
  <c r="M3" i="11"/>
  <c r="G3" i="11" s="1"/>
  <c r="C4" i="11"/>
  <c r="AC3" i="11"/>
  <c r="D3" i="11"/>
  <c r="AE3" i="11"/>
  <c r="I4" i="11"/>
  <c r="AG3" i="11"/>
  <c r="E4" i="11"/>
  <c r="X3" i="5"/>
  <c r="E3" i="11" l="1"/>
  <c r="K3" i="11"/>
  <c r="C3" i="11"/>
  <c r="I3" i="11"/>
  <c r="T4" i="22"/>
  <c r="P5" i="22"/>
  <c r="D5" i="22" s="1"/>
  <c r="P3" i="22"/>
  <c r="E3" i="22"/>
  <c r="D41" i="22"/>
  <c r="Z41" i="22"/>
  <c r="P41" i="22"/>
  <c r="AJ45" i="12" l="1"/>
  <c r="AJ44" i="12"/>
  <c r="AJ43" i="12"/>
  <c r="AJ42" i="12"/>
  <c r="AJ41" i="12"/>
  <c r="AJ40" i="12"/>
  <c r="AJ39" i="12"/>
  <c r="AJ38" i="12"/>
  <c r="AJ37" i="12"/>
  <c r="AJ36" i="12"/>
  <c r="AJ35" i="12"/>
  <c r="AJ34" i="12"/>
  <c r="AJ33" i="12"/>
  <c r="AJ32" i="12"/>
  <c r="AJ31" i="12"/>
  <c r="AJ30" i="12"/>
  <c r="AJ29" i="12"/>
  <c r="AJ28" i="12"/>
  <c r="AJ27" i="12"/>
  <c r="AJ26" i="12"/>
  <c r="AJ25" i="12"/>
  <c r="AJ24" i="12"/>
  <c r="AJ23" i="12"/>
  <c r="AJ22" i="12"/>
  <c r="AJ21" i="12"/>
  <c r="AJ20" i="12"/>
  <c r="AJ19" i="12"/>
  <c r="AJ18" i="12"/>
  <c r="AJ17" i="12"/>
  <c r="AJ16" i="12"/>
  <c r="AJ15" i="12"/>
  <c r="AJ14" i="12"/>
  <c r="AJ13" i="12"/>
  <c r="AJ12" i="12"/>
  <c r="AJ11" i="12"/>
  <c r="AJ10" i="12"/>
  <c r="AJ9" i="12"/>
  <c r="AJ8" i="12"/>
  <c r="AJ7" i="12"/>
  <c r="AJ6" i="12"/>
  <c r="AJ5" i="12"/>
  <c r="S40" i="12"/>
  <c r="Q40" i="12" s="1"/>
  <c r="Q45" i="12"/>
  <c r="Q44" i="12"/>
  <c r="Q43" i="12"/>
  <c r="Q42" i="12"/>
  <c r="Q41" i="12"/>
  <c r="Q39" i="12"/>
  <c r="Q38" i="12"/>
  <c r="Q37" i="12"/>
  <c r="Q36" i="12"/>
  <c r="Q34" i="12"/>
  <c r="Q33" i="12"/>
  <c r="Q32" i="12"/>
  <c r="Q31" i="12"/>
  <c r="Q30" i="12"/>
  <c r="Q29" i="12"/>
  <c r="Q28" i="12"/>
  <c r="Q27" i="12"/>
  <c r="Q26" i="12"/>
  <c r="Q25" i="12"/>
  <c r="Q24" i="12"/>
  <c r="Q23" i="12"/>
  <c r="Q22" i="12"/>
  <c r="Q21" i="12"/>
  <c r="Q19" i="12"/>
  <c r="Q18" i="12"/>
  <c r="Q17" i="12"/>
  <c r="Q16" i="12"/>
  <c r="Q14" i="12"/>
  <c r="Q13" i="12"/>
  <c r="Q12" i="12"/>
  <c r="Q11" i="12"/>
  <c r="Q10" i="12"/>
  <c r="Q8" i="12"/>
  <c r="Q7" i="12"/>
  <c r="Q6" i="12"/>
  <c r="Y29" i="12"/>
  <c r="AO45" i="12"/>
  <c r="AO43" i="12"/>
  <c r="AO41" i="12"/>
  <c r="AO39" i="12"/>
  <c r="AO38" i="12"/>
  <c r="AO37" i="12"/>
  <c r="AO36" i="12"/>
  <c r="AO34" i="12"/>
  <c r="AO32" i="12"/>
  <c r="AO31" i="12"/>
  <c r="AO30" i="12"/>
  <c r="AO29" i="12"/>
  <c r="AO28" i="12"/>
  <c r="AO27" i="12"/>
  <c r="AO26" i="12"/>
  <c r="AO25" i="12"/>
  <c r="AO24" i="12"/>
  <c r="AN24" i="12" s="1"/>
  <c r="AO23" i="12"/>
  <c r="AO22" i="12"/>
  <c r="AO21" i="12"/>
  <c r="AO19" i="12"/>
  <c r="AO18" i="12"/>
  <c r="AO17" i="12"/>
  <c r="AO16" i="12"/>
  <c r="AN16" i="12" s="1"/>
  <c r="AO14" i="12"/>
  <c r="AO13" i="12"/>
  <c r="AO12" i="12"/>
  <c r="AO11" i="12"/>
  <c r="AO10" i="12"/>
  <c r="AO8" i="12"/>
  <c r="AO7" i="12"/>
  <c r="AO6" i="12"/>
  <c r="AE45" i="12"/>
  <c r="AB45" i="12" s="1"/>
  <c r="AE43" i="12"/>
  <c r="AB43" i="12" s="1"/>
  <c r="AE41" i="12"/>
  <c r="AB41" i="12" s="1"/>
  <c r="AE39" i="12"/>
  <c r="AE38" i="12"/>
  <c r="AE37" i="12"/>
  <c r="AE36" i="12"/>
  <c r="AE34" i="12"/>
  <c r="AD34" i="12" s="1"/>
  <c r="AE32" i="12"/>
  <c r="AE31" i="12"/>
  <c r="AE30" i="12"/>
  <c r="AE29" i="12"/>
  <c r="AE28" i="12"/>
  <c r="AE27" i="12"/>
  <c r="AE26" i="12"/>
  <c r="AE25" i="12"/>
  <c r="AE24" i="12"/>
  <c r="AB24" i="12" s="1"/>
  <c r="AE23" i="12"/>
  <c r="AE22" i="12"/>
  <c r="AE21" i="12"/>
  <c r="AE19" i="12"/>
  <c r="AE18" i="12"/>
  <c r="AE17" i="12"/>
  <c r="AE16" i="12"/>
  <c r="AB16" i="12" s="1"/>
  <c r="AE14" i="12"/>
  <c r="AE13" i="12"/>
  <c r="AE12" i="12"/>
  <c r="AE11" i="12"/>
  <c r="AE10" i="12"/>
  <c r="AE8" i="12"/>
  <c r="AE7" i="12"/>
  <c r="AE6" i="12"/>
  <c r="AB6" i="12" s="1"/>
  <c r="Z45" i="12"/>
  <c r="Y45" i="12" s="1"/>
  <c r="Z43" i="12"/>
  <c r="Z41" i="12"/>
  <c r="Z39" i="12"/>
  <c r="Z38" i="12"/>
  <c r="Z37" i="12"/>
  <c r="Z36" i="12"/>
  <c r="Z34" i="12"/>
  <c r="Z32" i="12"/>
  <c r="Z31" i="12"/>
  <c r="Y31" i="12" s="1"/>
  <c r="Z30" i="12"/>
  <c r="Z29" i="12"/>
  <c r="W29" i="12" s="1"/>
  <c r="Z28" i="12"/>
  <c r="Z27" i="12"/>
  <c r="Z26" i="12"/>
  <c r="Z25" i="12"/>
  <c r="Z24" i="12"/>
  <c r="Z23" i="12"/>
  <c r="Y23" i="12" s="1"/>
  <c r="Z22" i="12"/>
  <c r="Z21" i="12"/>
  <c r="Z19" i="12"/>
  <c r="Z18" i="12"/>
  <c r="Z17" i="12"/>
  <c r="Z16" i="12"/>
  <c r="Z14" i="12"/>
  <c r="Y14" i="12" s="1"/>
  <c r="Z13" i="12"/>
  <c r="Z12" i="12"/>
  <c r="Y12" i="12" s="1"/>
  <c r="Z11" i="12"/>
  <c r="Z10" i="12"/>
  <c r="Z8" i="12"/>
  <c r="Z7" i="12"/>
  <c r="Z6" i="12"/>
  <c r="U8" i="12"/>
  <c r="U11" i="12"/>
  <c r="U13" i="12"/>
  <c r="U17" i="12"/>
  <c r="U18" i="12"/>
  <c r="U19" i="12"/>
  <c r="U22" i="12"/>
  <c r="U25" i="12"/>
  <c r="U27" i="12"/>
  <c r="U28" i="12"/>
  <c r="U32" i="12"/>
  <c r="Z20" i="22"/>
  <c r="D21" i="22"/>
  <c r="E21" i="22"/>
  <c r="K20" i="22"/>
  <c r="S20" i="22"/>
  <c r="W20" i="22"/>
  <c r="AI20" i="22"/>
  <c r="AQ20" i="22"/>
  <c r="Q20" i="22"/>
  <c r="AP20" i="22"/>
  <c r="AO20" i="22"/>
  <c r="AG20" i="22"/>
  <c r="AC20" i="22"/>
  <c r="R20" i="22"/>
  <c r="M20" i="22"/>
  <c r="AM43" i="22"/>
  <c r="AJ42" i="22"/>
  <c r="AJ41" i="22" s="1"/>
  <c r="AH44" i="22"/>
  <c r="AI42" i="22"/>
  <c r="AI41" i="22" s="1"/>
  <c r="AM41" i="22"/>
  <c r="AM6" i="22"/>
  <c r="AM7" i="22"/>
  <c r="AM8" i="22"/>
  <c r="AM10" i="22"/>
  <c r="AM11" i="22"/>
  <c r="AM12" i="22"/>
  <c r="AM13" i="22"/>
  <c r="AM14" i="22"/>
  <c r="AM16" i="22"/>
  <c r="AM17" i="22"/>
  <c r="AM18" i="22"/>
  <c r="AM19" i="22"/>
  <c r="AM22" i="22"/>
  <c r="AM23" i="22"/>
  <c r="AM24" i="22"/>
  <c r="AM25" i="22"/>
  <c r="AM26" i="22"/>
  <c r="AM27" i="22"/>
  <c r="AM28" i="22"/>
  <c r="AM30" i="22"/>
  <c r="AM32" i="22"/>
  <c r="AM33" i="22"/>
  <c r="AM34" i="22"/>
  <c r="AM36" i="22"/>
  <c r="AM38" i="22"/>
  <c r="AM40" i="22"/>
  <c r="AM44" i="22"/>
  <c r="AM45" i="22"/>
  <c r="AM46" i="22"/>
  <c r="AM47" i="22"/>
  <c r="AM48" i="22"/>
  <c r="AH6" i="22"/>
  <c r="AH7" i="22"/>
  <c r="AH8" i="22"/>
  <c r="AH10" i="22"/>
  <c r="AH11" i="22"/>
  <c r="AH12" i="22"/>
  <c r="AH13" i="22"/>
  <c r="AH14" i="22"/>
  <c r="AH16" i="22"/>
  <c r="AH17" i="22"/>
  <c r="AH18" i="22"/>
  <c r="AH19" i="22"/>
  <c r="AH22" i="22"/>
  <c r="AH23" i="22"/>
  <c r="AH24" i="22"/>
  <c r="AH25" i="22"/>
  <c r="AH26" i="22"/>
  <c r="AH27" i="22"/>
  <c r="AH28" i="22"/>
  <c r="AH30" i="22"/>
  <c r="AH32" i="22"/>
  <c r="AH33" i="22"/>
  <c r="AH34" i="22"/>
  <c r="AH36" i="22"/>
  <c r="AH38" i="22"/>
  <c r="AH40" i="22"/>
  <c r="AH43" i="22"/>
  <c r="AR43" i="22" s="1"/>
  <c r="AH45" i="22"/>
  <c r="AH46" i="22"/>
  <c r="AH47" i="22"/>
  <c r="AH48" i="22"/>
  <c r="O47" i="22"/>
  <c r="O45" i="22"/>
  <c r="O41" i="22"/>
  <c r="O40" i="22"/>
  <c r="O38" i="22"/>
  <c r="O36" i="22"/>
  <c r="O34" i="22"/>
  <c r="O33" i="22"/>
  <c r="O32" i="22"/>
  <c r="O30" i="22"/>
  <c r="O28" i="22"/>
  <c r="O27" i="22"/>
  <c r="O26" i="22"/>
  <c r="O25" i="22"/>
  <c r="O24" i="22"/>
  <c r="O23" i="22"/>
  <c r="O22" i="22"/>
  <c r="O19" i="22"/>
  <c r="O18" i="22"/>
  <c r="O17" i="22"/>
  <c r="O16" i="22"/>
  <c r="O14" i="22"/>
  <c r="O13" i="22"/>
  <c r="O12" i="22"/>
  <c r="O11" i="22"/>
  <c r="O10" i="22"/>
  <c r="O8" i="22"/>
  <c r="O7" i="22"/>
  <c r="O6" i="22"/>
  <c r="L47" i="22"/>
  <c r="L45" i="22"/>
  <c r="L41" i="22"/>
  <c r="L38" i="22"/>
  <c r="L36" i="22"/>
  <c r="L34" i="22"/>
  <c r="L33" i="22"/>
  <c r="L32" i="22"/>
  <c r="L30" i="22"/>
  <c r="L28" i="22"/>
  <c r="L27" i="22"/>
  <c r="L26" i="22"/>
  <c r="L25" i="22"/>
  <c r="L24" i="22"/>
  <c r="L23" i="22"/>
  <c r="L22" i="22"/>
  <c r="L19" i="22"/>
  <c r="L18" i="22"/>
  <c r="L17" i="22"/>
  <c r="L16" i="22"/>
  <c r="L14" i="22"/>
  <c r="L13" i="22"/>
  <c r="L12" i="22"/>
  <c r="L11" i="22"/>
  <c r="L10" i="22"/>
  <c r="L8" i="22"/>
  <c r="L7" i="22"/>
  <c r="L6" i="22"/>
  <c r="I47" i="22"/>
  <c r="I45" i="22"/>
  <c r="I41" i="22"/>
  <c r="I40" i="22"/>
  <c r="I38" i="22"/>
  <c r="I36" i="22"/>
  <c r="I34" i="22"/>
  <c r="I33" i="22"/>
  <c r="I32" i="22"/>
  <c r="I30" i="22"/>
  <c r="I28" i="22"/>
  <c r="I27" i="22"/>
  <c r="I26" i="22"/>
  <c r="I25" i="22"/>
  <c r="I24" i="22"/>
  <c r="I23" i="22"/>
  <c r="I22" i="22"/>
  <c r="I19" i="22"/>
  <c r="I18" i="22"/>
  <c r="I17" i="22"/>
  <c r="I16" i="22"/>
  <c r="I14" i="22"/>
  <c r="I13" i="22"/>
  <c r="I12" i="22"/>
  <c r="I11" i="22"/>
  <c r="I10" i="22"/>
  <c r="I8" i="22"/>
  <c r="I7" i="22"/>
  <c r="I6" i="22"/>
  <c r="F6" i="22"/>
  <c r="F7" i="22"/>
  <c r="F8" i="22"/>
  <c r="F10" i="22"/>
  <c r="F11" i="22"/>
  <c r="F12" i="22"/>
  <c r="F13" i="22"/>
  <c r="F14" i="22"/>
  <c r="F16" i="22"/>
  <c r="F17" i="22"/>
  <c r="F18" i="22"/>
  <c r="F19" i="22"/>
  <c r="F22" i="22"/>
  <c r="F23" i="22"/>
  <c r="F24" i="22"/>
  <c r="F25" i="22"/>
  <c r="F26" i="22"/>
  <c r="F27" i="22"/>
  <c r="F28" i="22"/>
  <c r="F30" i="22"/>
  <c r="F32" i="22"/>
  <c r="F33" i="22"/>
  <c r="F34" i="22"/>
  <c r="F36" i="22"/>
  <c r="F38" i="22"/>
  <c r="F40" i="22"/>
  <c r="F41" i="22"/>
  <c r="F45" i="22"/>
  <c r="F47" i="22"/>
  <c r="AF42" i="22"/>
  <c r="AF41" i="22" s="1"/>
  <c r="AG42" i="22"/>
  <c r="AG41" i="22" s="1"/>
  <c r="AN42" i="22"/>
  <c r="AM42" i="22" s="1"/>
  <c r="AK42" i="22"/>
  <c r="AO42" i="22"/>
  <c r="AO41" i="22" s="1"/>
  <c r="AH41" i="22" s="1"/>
  <c r="AP42" i="22"/>
  <c r="AL42" i="22"/>
  <c r="C42" i="22"/>
  <c r="G42" i="22"/>
  <c r="H42" i="22"/>
  <c r="J42" i="22"/>
  <c r="K42" i="22"/>
  <c r="M42" i="22"/>
  <c r="N42" i="22"/>
  <c r="Q42" i="22"/>
  <c r="R42" i="22"/>
  <c r="B42" i="22"/>
  <c r="U42" i="22"/>
  <c r="B31" i="22"/>
  <c r="T48" i="22"/>
  <c r="T47" i="22" s="1"/>
  <c r="U47" i="22"/>
  <c r="S47" i="22"/>
  <c r="T46" i="22"/>
  <c r="T45" i="22" s="1"/>
  <c r="U45" i="22"/>
  <c r="S45" i="22"/>
  <c r="T44" i="22"/>
  <c r="S42" i="22"/>
  <c r="X40" i="22"/>
  <c r="W40" i="22"/>
  <c r="AA40" i="22" s="1"/>
  <c r="U40" i="22"/>
  <c r="J40" i="22"/>
  <c r="J39" i="22" s="1"/>
  <c r="AQ39" i="22"/>
  <c r="AL39" i="22"/>
  <c r="AI39" i="22"/>
  <c r="AP39" i="22"/>
  <c r="AO39" i="22"/>
  <c r="AK39" i="22"/>
  <c r="AN39" i="22"/>
  <c r="AG39" i="22"/>
  <c r="AF39" i="22"/>
  <c r="AD39" i="22"/>
  <c r="AC39" i="22"/>
  <c r="AB39" i="22"/>
  <c r="Y39" i="22"/>
  <c r="V39" i="22"/>
  <c r="T39" i="22"/>
  <c r="S39" i="22"/>
  <c r="R39" i="22"/>
  <c r="Q39" i="22"/>
  <c r="N39" i="22"/>
  <c r="M39" i="22"/>
  <c r="H39" i="22"/>
  <c r="G39" i="22"/>
  <c r="C39" i="22"/>
  <c r="B39" i="22"/>
  <c r="AE38" i="22"/>
  <c r="Z38" i="22"/>
  <c r="U38" i="22"/>
  <c r="AQ37" i="22"/>
  <c r="AL37" i="22"/>
  <c r="AI37" i="22"/>
  <c r="AP37" i="22"/>
  <c r="AO37" i="22"/>
  <c r="AK37" i="22"/>
  <c r="AN37" i="22"/>
  <c r="AG37" i="22"/>
  <c r="AF37" i="22"/>
  <c r="AD37" i="22"/>
  <c r="AC37" i="22"/>
  <c r="AB37" i="22"/>
  <c r="AA37" i="22"/>
  <c r="Y37" i="22"/>
  <c r="X37" i="22"/>
  <c r="W37" i="22"/>
  <c r="V37" i="22"/>
  <c r="T37" i="22"/>
  <c r="S37" i="22"/>
  <c r="R37" i="22"/>
  <c r="Q37" i="22"/>
  <c r="N37" i="22"/>
  <c r="M37" i="22"/>
  <c r="K37" i="22"/>
  <c r="J37" i="22"/>
  <c r="H37" i="22"/>
  <c r="G37" i="22"/>
  <c r="C37" i="22"/>
  <c r="B37" i="22"/>
  <c r="AE36" i="22"/>
  <c r="Z36" i="22"/>
  <c r="U36" i="22"/>
  <c r="AQ35" i="22"/>
  <c r="AL35" i="22"/>
  <c r="AI35" i="22"/>
  <c r="AP35" i="22"/>
  <c r="AO35" i="22"/>
  <c r="AK35" i="22"/>
  <c r="AN35" i="22"/>
  <c r="AG35" i="22"/>
  <c r="AF35" i="22"/>
  <c r="AD35" i="22"/>
  <c r="AC35" i="22"/>
  <c r="AB35" i="22"/>
  <c r="AA35" i="22"/>
  <c r="Y35" i="22"/>
  <c r="X35" i="22"/>
  <c r="W35" i="22"/>
  <c r="V35" i="22"/>
  <c r="T35" i="22"/>
  <c r="S35" i="22"/>
  <c r="R35" i="22"/>
  <c r="Q35" i="22"/>
  <c r="N35" i="22"/>
  <c r="M35" i="22"/>
  <c r="K35" i="22"/>
  <c r="J35" i="22"/>
  <c r="H35" i="22"/>
  <c r="G35" i="22"/>
  <c r="C35" i="22"/>
  <c r="B35" i="22"/>
  <c r="AE32" i="22"/>
  <c r="Z32" i="22"/>
  <c r="U32" i="22"/>
  <c r="AE34" i="22"/>
  <c r="Z34" i="22"/>
  <c r="U34" i="22"/>
  <c r="AE33" i="22"/>
  <c r="Z33" i="22"/>
  <c r="U33" i="22"/>
  <c r="AQ31" i="22"/>
  <c r="AL31" i="22"/>
  <c r="AI31" i="22"/>
  <c r="AP31" i="22"/>
  <c r="AO31" i="22"/>
  <c r="AK31" i="22"/>
  <c r="AN31" i="22"/>
  <c r="AG31" i="22"/>
  <c r="AF31" i="22"/>
  <c r="AD31" i="22"/>
  <c r="AC31" i="22"/>
  <c r="AB31" i="22"/>
  <c r="AA31" i="22"/>
  <c r="Y31" i="22"/>
  <c r="X31" i="22"/>
  <c r="W31" i="22"/>
  <c r="V31" i="22"/>
  <c r="T31" i="22"/>
  <c r="S31" i="22"/>
  <c r="R31" i="22"/>
  <c r="Q31" i="22"/>
  <c r="N31" i="22"/>
  <c r="M31" i="22"/>
  <c r="K31" i="22"/>
  <c r="J31" i="22"/>
  <c r="H31" i="22"/>
  <c r="G31" i="22"/>
  <c r="C31" i="22"/>
  <c r="AE30" i="22"/>
  <c r="Z30" i="22"/>
  <c r="U30" i="22"/>
  <c r="AQ29" i="22"/>
  <c r="AL29" i="22"/>
  <c r="AI29" i="22"/>
  <c r="AP29" i="22"/>
  <c r="AO29" i="22"/>
  <c r="AK29" i="22"/>
  <c r="AN29" i="22"/>
  <c r="AG29" i="22"/>
  <c r="AF29" i="22"/>
  <c r="AD29" i="22"/>
  <c r="AC29" i="22"/>
  <c r="AB29" i="22"/>
  <c r="AA29" i="22"/>
  <c r="Y29" i="22"/>
  <c r="X29" i="22"/>
  <c r="W29" i="22"/>
  <c r="V29" i="22"/>
  <c r="T29" i="22"/>
  <c r="S29" i="22"/>
  <c r="R29" i="22"/>
  <c r="Q29" i="22"/>
  <c r="N29" i="22"/>
  <c r="M29" i="22"/>
  <c r="K29" i="22"/>
  <c r="J29" i="22"/>
  <c r="H29" i="22"/>
  <c r="G29" i="22"/>
  <c r="C29" i="22"/>
  <c r="B29" i="22"/>
  <c r="AE23" i="22"/>
  <c r="Z23" i="22"/>
  <c r="U23" i="22"/>
  <c r="AE22" i="22"/>
  <c r="Z22" i="22"/>
  <c r="U22" i="22"/>
  <c r="AE28" i="22"/>
  <c r="Z28" i="22"/>
  <c r="U28" i="22"/>
  <c r="AE24" i="22"/>
  <c r="Z24" i="22"/>
  <c r="U24" i="22"/>
  <c r="AE27" i="22"/>
  <c r="Z27" i="22"/>
  <c r="U27" i="22"/>
  <c r="AE26" i="22"/>
  <c r="Z26" i="22"/>
  <c r="U26" i="22"/>
  <c r="AE25" i="22"/>
  <c r="Z25" i="22"/>
  <c r="U25" i="22"/>
  <c r="AL20" i="22"/>
  <c r="AK20" i="22"/>
  <c r="AN20" i="22"/>
  <c r="AF20" i="22"/>
  <c r="AD20" i="22"/>
  <c r="AB20" i="22"/>
  <c r="AA20" i="22"/>
  <c r="Y20" i="22"/>
  <c r="X20" i="22"/>
  <c r="V20" i="22"/>
  <c r="T20" i="22"/>
  <c r="N20" i="22"/>
  <c r="J20" i="22"/>
  <c r="H20" i="22"/>
  <c r="G20" i="22"/>
  <c r="C20" i="22"/>
  <c r="B20" i="22"/>
  <c r="AE18" i="22"/>
  <c r="Z18" i="22"/>
  <c r="U18" i="22"/>
  <c r="AE17" i="22"/>
  <c r="Z17" i="22"/>
  <c r="U17" i="22"/>
  <c r="AE19" i="22"/>
  <c r="Z19" i="22"/>
  <c r="U19" i="22"/>
  <c r="AE16" i="22"/>
  <c r="Z16" i="22"/>
  <c r="U16" i="22"/>
  <c r="AQ15" i="22"/>
  <c r="AL15" i="22"/>
  <c r="AI15" i="22"/>
  <c r="AP15" i="22"/>
  <c r="AO15" i="22"/>
  <c r="AK15" i="22"/>
  <c r="AN15" i="22"/>
  <c r="AG15" i="22"/>
  <c r="AF15" i="22"/>
  <c r="AD15" i="22"/>
  <c r="AC15" i="22"/>
  <c r="AB15" i="22"/>
  <c r="AA15" i="22"/>
  <c r="Y15" i="22"/>
  <c r="X15" i="22"/>
  <c r="W15" i="22"/>
  <c r="V15" i="22"/>
  <c r="T15" i="22"/>
  <c r="S15" i="22"/>
  <c r="R15" i="22"/>
  <c r="Q15" i="22"/>
  <c r="N15" i="22"/>
  <c r="M15" i="22"/>
  <c r="K15" i="22"/>
  <c r="J15" i="22"/>
  <c r="H15" i="22"/>
  <c r="G15" i="22"/>
  <c r="C15" i="22"/>
  <c r="B15" i="22"/>
  <c r="AE14" i="22"/>
  <c r="Z14" i="22"/>
  <c r="U14" i="22"/>
  <c r="AE13" i="22"/>
  <c r="Z13" i="22"/>
  <c r="U13" i="22"/>
  <c r="AE11" i="22"/>
  <c r="Z11" i="22"/>
  <c r="U11" i="22"/>
  <c r="AE10" i="22"/>
  <c r="Z10" i="22"/>
  <c r="U10" i="22"/>
  <c r="AE12" i="22"/>
  <c r="Z12" i="22"/>
  <c r="U12" i="22"/>
  <c r="AQ9" i="22"/>
  <c r="AL9" i="22"/>
  <c r="AI9" i="22"/>
  <c r="AP9" i="22"/>
  <c r="AO9" i="22"/>
  <c r="AK9" i="22"/>
  <c r="AN9" i="22"/>
  <c r="AG9" i="22"/>
  <c r="AF9" i="22"/>
  <c r="AD9" i="22"/>
  <c r="AC9" i="22"/>
  <c r="AB9" i="22"/>
  <c r="AA9" i="22"/>
  <c r="Y9" i="22"/>
  <c r="X9" i="22"/>
  <c r="W9" i="22"/>
  <c r="V9" i="22"/>
  <c r="T9" i="22"/>
  <c r="S9" i="22"/>
  <c r="R9" i="22"/>
  <c r="Q9" i="22"/>
  <c r="N9" i="22"/>
  <c r="M9" i="22"/>
  <c r="K9" i="22"/>
  <c r="J9" i="22"/>
  <c r="H9" i="22"/>
  <c r="G9" i="22"/>
  <c r="C9" i="22"/>
  <c r="B9" i="22"/>
  <c r="AE7" i="22"/>
  <c r="Z7" i="22"/>
  <c r="U7" i="22"/>
  <c r="AE8" i="22"/>
  <c r="Z8" i="22"/>
  <c r="U8" i="22"/>
  <c r="AE6" i="22"/>
  <c r="Z6" i="22"/>
  <c r="U6" i="22"/>
  <c r="AQ5" i="22"/>
  <c r="AL5" i="22"/>
  <c r="AI5" i="22"/>
  <c r="AP5" i="22"/>
  <c r="AO5" i="22"/>
  <c r="AK5" i="22"/>
  <c r="AN5" i="22"/>
  <c r="AG5" i="22"/>
  <c r="AF5" i="22"/>
  <c r="AD5" i="22"/>
  <c r="AC5" i="22"/>
  <c r="AB5" i="22"/>
  <c r="AA5" i="22"/>
  <c r="Y5" i="22"/>
  <c r="X5" i="22"/>
  <c r="W5" i="22"/>
  <c r="V5" i="22"/>
  <c r="T5" i="22"/>
  <c r="S5" i="22"/>
  <c r="R5" i="22"/>
  <c r="Q5" i="22"/>
  <c r="N5" i="22"/>
  <c r="M5" i="22"/>
  <c r="K5" i="22"/>
  <c r="J5" i="22"/>
  <c r="H5" i="22"/>
  <c r="G5" i="22"/>
  <c r="C5" i="22"/>
  <c r="B5" i="22"/>
  <c r="C29" i="21"/>
  <c r="B29" i="21"/>
  <c r="G5" i="20"/>
  <c r="C5" i="20"/>
  <c r="D5" i="20"/>
  <c r="E5" i="20"/>
  <c r="B5" i="20"/>
  <c r="B27" i="20"/>
  <c r="C27" i="20"/>
  <c r="D27" i="20"/>
  <c r="E27" i="20"/>
  <c r="AL16" i="12" l="1"/>
  <c r="AL24" i="12"/>
  <c r="AB34" i="12"/>
  <c r="AD43" i="12"/>
  <c r="AD16" i="12"/>
  <c r="AD24" i="12"/>
  <c r="AD6" i="12"/>
  <c r="AD41" i="12"/>
  <c r="AD45" i="12"/>
  <c r="W14" i="12"/>
  <c r="W23" i="12"/>
  <c r="W31" i="12"/>
  <c r="W12" i="12"/>
  <c r="W45" i="12"/>
  <c r="I20" i="22"/>
  <c r="L5" i="22"/>
  <c r="AH5" i="22"/>
  <c r="I15" i="22"/>
  <c r="O15" i="22"/>
  <c r="AR28" i="22"/>
  <c r="AM20" i="22"/>
  <c r="AM39" i="22"/>
  <c r="AR24" i="22"/>
  <c r="AR17" i="22"/>
  <c r="AR40" i="22"/>
  <c r="AM9" i="22"/>
  <c r="AM15" i="22"/>
  <c r="AM29" i="22"/>
  <c r="AM37" i="22"/>
  <c r="AR46" i="22"/>
  <c r="AR38" i="22"/>
  <c r="AR33" i="22"/>
  <c r="AR27" i="22"/>
  <c r="AR16" i="22"/>
  <c r="AR11" i="22"/>
  <c r="AR6" i="22"/>
  <c r="AR26" i="22"/>
  <c r="AR23" i="22"/>
  <c r="AR19" i="22"/>
  <c r="AR14" i="22"/>
  <c r="AR10" i="22"/>
  <c r="AR25" i="22"/>
  <c r="AR22" i="22"/>
  <c r="AR18" i="22"/>
  <c r="AR13" i="22"/>
  <c r="AR8" i="22"/>
  <c r="AR7" i="22"/>
  <c r="AR36" i="22"/>
  <c r="AR32" i="22"/>
  <c r="AH42" i="22"/>
  <c r="AR42" i="22" s="1"/>
  <c r="I5" i="22"/>
  <c r="O5" i="22"/>
  <c r="AM5" i="22"/>
  <c r="AM35" i="22"/>
  <c r="AR34" i="22"/>
  <c r="AR30" i="22"/>
  <c r="AR5" i="22"/>
  <c r="AR44" i="22"/>
  <c r="AM31" i="22"/>
  <c r="AR12" i="22"/>
  <c r="AR45" i="22"/>
  <c r="AR48" i="22"/>
  <c r="AR47" i="22"/>
  <c r="I39" i="22"/>
  <c r="AR41" i="22"/>
  <c r="I9" i="22"/>
  <c r="O9" i="22"/>
  <c r="F20" i="22"/>
  <c r="L20" i="22"/>
  <c r="AH20" i="22"/>
  <c r="I31" i="22"/>
  <c r="O31" i="22"/>
  <c r="P38" i="22"/>
  <c r="P8" i="22"/>
  <c r="P18" i="22"/>
  <c r="F9" i="22"/>
  <c r="L9" i="22"/>
  <c r="P9" i="22" s="1"/>
  <c r="AH9" i="22"/>
  <c r="AR9" i="22" s="1"/>
  <c r="O20" i="22"/>
  <c r="L31" i="22"/>
  <c r="AH31" i="22"/>
  <c r="F35" i="22"/>
  <c r="L35" i="22"/>
  <c r="AH35" i="22"/>
  <c r="AH39" i="22"/>
  <c r="AR39" i="22" s="1"/>
  <c r="P34" i="22"/>
  <c r="P30" i="22"/>
  <c r="P19" i="22"/>
  <c r="P6" i="22"/>
  <c r="P16" i="22"/>
  <c r="L15" i="22"/>
  <c r="AH15" i="22"/>
  <c r="I35" i="22"/>
  <c r="O35" i="22"/>
  <c r="I37" i="22"/>
  <c r="O37" i="22"/>
  <c r="F39" i="22"/>
  <c r="O39" i="22"/>
  <c r="P32" i="22"/>
  <c r="P26" i="22"/>
  <c r="P23" i="22"/>
  <c r="P11" i="22"/>
  <c r="P10" i="22"/>
  <c r="P14" i="22"/>
  <c r="P22" i="22"/>
  <c r="P25" i="22"/>
  <c r="F37" i="22"/>
  <c r="L37" i="22"/>
  <c r="AH37" i="22"/>
  <c r="AR37" i="22" s="1"/>
  <c r="P28" i="22"/>
  <c r="P24" i="22"/>
  <c r="P13" i="22"/>
  <c r="P12" i="22"/>
  <c r="P27" i="22"/>
  <c r="F31" i="22"/>
  <c r="P36" i="22"/>
  <c r="P33" i="22"/>
  <c r="P17" i="22"/>
  <c r="P7" i="22"/>
  <c r="F29" i="22"/>
  <c r="L29" i="22"/>
  <c r="AH29" i="22"/>
  <c r="F42" i="22"/>
  <c r="O42" i="22"/>
  <c r="I42" i="22"/>
  <c r="L42" i="22"/>
  <c r="I29" i="22"/>
  <c r="O29" i="22"/>
  <c r="K40" i="22"/>
  <c r="L40" i="22" s="1"/>
  <c r="P40" i="22" s="1"/>
  <c r="U39" i="22"/>
  <c r="T42" i="22"/>
  <c r="T41" i="22" s="1"/>
  <c r="J4" i="22"/>
  <c r="U5" i="22"/>
  <c r="V4" i="22"/>
  <c r="V3" i="22" s="1"/>
  <c r="AF4" i="22"/>
  <c r="AO4" i="22"/>
  <c r="AQ4" i="22"/>
  <c r="AQ3" i="22" s="1"/>
  <c r="Z9" i="22"/>
  <c r="AE9" i="22"/>
  <c r="AB4" i="22"/>
  <c r="AB3" i="22" s="1"/>
  <c r="U29" i="22"/>
  <c r="Z29" i="22"/>
  <c r="Z37" i="22"/>
  <c r="Z40" i="22"/>
  <c r="U35" i="22"/>
  <c r="Z35" i="22"/>
  <c r="AE35" i="22"/>
  <c r="W39" i="22"/>
  <c r="W4" i="22" s="1"/>
  <c r="W3" i="22" s="1"/>
  <c r="Q4" i="22"/>
  <c r="Q3" i="22" s="1"/>
  <c r="C4" i="22"/>
  <c r="C3" i="22" s="1"/>
  <c r="S41" i="22"/>
  <c r="G4" i="22"/>
  <c r="M4" i="22"/>
  <c r="S4" i="22"/>
  <c r="AN4" i="22"/>
  <c r="AI4" i="22"/>
  <c r="AI3" i="22" s="1"/>
  <c r="AC4" i="22"/>
  <c r="AC3" i="22" s="1"/>
  <c r="U15" i="22"/>
  <c r="Z15" i="22"/>
  <c r="AE15" i="22"/>
  <c r="U31" i="22"/>
  <c r="Z31" i="22"/>
  <c r="AE31" i="22"/>
  <c r="U37" i="22"/>
  <c r="U41" i="22"/>
  <c r="B4" i="22"/>
  <c r="R4" i="22"/>
  <c r="R3" i="22" s="1"/>
  <c r="AP4" i="22"/>
  <c r="AP3" i="22" s="1"/>
  <c r="H4" i="22"/>
  <c r="H3" i="22" s="1"/>
  <c r="N4" i="22"/>
  <c r="N3" i="22" s="1"/>
  <c r="AD4" i="22"/>
  <c r="AD3" i="22" s="1"/>
  <c r="AK4" i="22"/>
  <c r="AK3" i="22" s="1"/>
  <c r="AL4" i="22"/>
  <c r="AL3" i="22" s="1"/>
  <c r="Y4" i="22"/>
  <c r="Y3" i="22" s="1"/>
  <c r="U20" i="22"/>
  <c r="AE20" i="22"/>
  <c r="D20" i="22" s="1"/>
  <c r="AE29" i="22"/>
  <c r="AE37" i="22"/>
  <c r="AE40" i="22"/>
  <c r="AA39" i="22"/>
  <c r="AE39" i="22" s="1"/>
  <c r="Z5" i="22"/>
  <c r="U9" i="22"/>
  <c r="AG4" i="22"/>
  <c r="AG3" i="22" s="1"/>
  <c r="X39" i="22"/>
  <c r="X4" i="22" s="1"/>
  <c r="X3" i="22" s="1"/>
  <c r="AE5" i="22"/>
  <c r="E40" i="22" l="1"/>
  <c r="D40" i="22"/>
  <c r="E23" i="22"/>
  <c r="D23" i="22"/>
  <c r="D46" i="22"/>
  <c r="E46" i="22"/>
  <c r="E6" i="22"/>
  <c r="D9" i="22"/>
  <c r="E9" i="22"/>
  <c r="E47" i="22"/>
  <c r="D47" i="22"/>
  <c r="E36" i="22"/>
  <c r="D36" i="22"/>
  <c r="D13" i="22"/>
  <c r="E13" i="22"/>
  <c r="D14" i="22"/>
  <c r="E14" i="22"/>
  <c r="D26" i="22"/>
  <c r="E26" i="22"/>
  <c r="E19" i="22"/>
  <c r="D19" i="22"/>
  <c r="E8" i="22"/>
  <c r="D8" i="22"/>
  <c r="E7" i="22"/>
  <c r="D7" i="22"/>
  <c r="E24" i="22"/>
  <c r="D24" i="22"/>
  <c r="D10" i="22"/>
  <c r="E10" i="22"/>
  <c r="E32" i="22"/>
  <c r="D32" i="22"/>
  <c r="D45" i="22"/>
  <c r="E45" i="22"/>
  <c r="D30" i="22"/>
  <c r="E30" i="22"/>
  <c r="E48" i="22"/>
  <c r="D48" i="22"/>
  <c r="D38" i="22"/>
  <c r="E38" i="22"/>
  <c r="D33" i="22"/>
  <c r="E33" i="22"/>
  <c r="E12" i="22"/>
  <c r="D12" i="22"/>
  <c r="D22" i="22"/>
  <c r="E22" i="22"/>
  <c r="D18" i="22"/>
  <c r="E18" i="22"/>
  <c r="D17" i="22"/>
  <c r="E17" i="22"/>
  <c r="E27" i="22"/>
  <c r="D27" i="22"/>
  <c r="E28" i="22"/>
  <c r="D28" i="22"/>
  <c r="D25" i="22"/>
  <c r="E25" i="22"/>
  <c r="E11" i="22"/>
  <c r="D11" i="22"/>
  <c r="E41" i="22"/>
  <c r="E16" i="22"/>
  <c r="D16" i="22"/>
  <c r="D34" i="22"/>
  <c r="E34" i="22"/>
  <c r="E44" i="22"/>
  <c r="D44" i="22"/>
  <c r="E43" i="22"/>
  <c r="D43" i="22"/>
  <c r="AR15" i="22"/>
  <c r="P20" i="22"/>
  <c r="AR20" i="22"/>
  <c r="AR29" i="22"/>
  <c r="AR35" i="22"/>
  <c r="P15" i="22"/>
  <c r="AR31" i="22"/>
  <c r="P31" i="22"/>
  <c r="AN3" i="22"/>
  <c r="AM3" i="22" s="1"/>
  <c r="AM4" i="22"/>
  <c r="AF3" i="22"/>
  <c r="P29" i="22"/>
  <c r="P35" i="22"/>
  <c r="P37" i="22"/>
  <c r="AO3" i="22"/>
  <c r="AH3" i="22" s="1"/>
  <c r="AH4" i="22"/>
  <c r="J3" i="22"/>
  <c r="M3" i="22"/>
  <c r="O3" i="22" s="1"/>
  <c r="O4" i="22"/>
  <c r="B3" i="22"/>
  <c r="F3" i="22" s="1"/>
  <c r="F4" i="22"/>
  <c r="G3" i="22"/>
  <c r="I3" i="22" s="1"/>
  <c r="I4" i="22"/>
  <c r="K39" i="22"/>
  <c r="L39" i="22" s="1"/>
  <c r="P39" i="22" s="1"/>
  <c r="T3" i="22"/>
  <c r="U4" i="22"/>
  <c r="U3" i="22" s="1"/>
  <c r="S3" i="22"/>
  <c r="AA4" i="22"/>
  <c r="AA3" i="22" s="1"/>
  <c r="Z39" i="22"/>
  <c r="Z4" i="22"/>
  <c r="Z3" i="22" s="1"/>
  <c r="D37" i="22" l="1"/>
  <c r="E37" i="22"/>
  <c r="D42" i="22"/>
  <c r="E42" i="22"/>
  <c r="E15" i="22"/>
  <c r="D15" i="22"/>
  <c r="E39" i="22"/>
  <c r="D39" i="22"/>
  <c r="E35" i="22"/>
  <c r="D35" i="22"/>
  <c r="E5" i="22"/>
  <c r="E20" i="22"/>
  <c r="D29" i="22"/>
  <c r="E29" i="22"/>
  <c r="E31" i="22"/>
  <c r="D31" i="22"/>
  <c r="AR4" i="22"/>
  <c r="AR3" i="22" s="1"/>
  <c r="K4" i="22"/>
  <c r="AE4" i="22"/>
  <c r="AE3" i="22" s="1"/>
  <c r="K3" i="22" l="1"/>
  <c r="L3" i="22" s="1"/>
  <c r="L4" i="22"/>
  <c r="P4" i="22" s="1"/>
  <c r="E4" i="22" l="1"/>
  <c r="D4" i="22"/>
  <c r="D3" i="22" l="1"/>
  <c r="G19" i="18" l="1"/>
  <c r="G18" i="18"/>
  <c r="G27" i="18"/>
  <c r="G26" i="18"/>
  <c r="G6" i="18"/>
  <c r="G7" i="18"/>
  <c r="G9" i="18"/>
  <c r="G13" i="18"/>
  <c r="G14" i="18"/>
  <c r="G16" i="18"/>
  <c r="G17" i="18"/>
  <c r="G20" i="18"/>
  <c r="G21" i="18"/>
  <c r="G22" i="18"/>
  <c r="G23" i="18"/>
  <c r="G24" i="18"/>
  <c r="G28" i="18"/>
  <c r="G29" i="18"/>
  <c r="G32" i="18"/>
  <c r="G33" i="18"/>
  <c r="G35" i="18"/>
  <c r="G36" i="18"/>
  <c r="G38" i="18"/>
  <c r="G39" i="18"/>
  <c r="F6" i="18"/>
  <c r="F7" i="18"/>
  <c r="F8" i="18"/>
  <c r="F9" i="18"/>
  <c r="F10" i="18"/>
  <c r="F11" i="18"/>
  <c r="F12" i="18"/>
  <c r="F13" i="18"/>
  <c r="F14" i="18"/>
  <c r="F15" i="18"/>
  <c r="G15" i="18" s="1"/>
  <c r="F16" i="18"/>
  <c r="F17" i="18"/>
  <c r="F18" i="18"/>
  <c r="F19" i="18"/>
  <c r="F20" i="18"/>
  <c r="F21" i="18"/>
  <c r="F22" i="18"/>
  <c r="F23" i="18"/>
  <c r="F24" i="18"/>
  <c r="F25" i="18"/>
  <c r="F26" i="18"/>
  <c r="F27" i="18"/>
  <c r="F28" i="18"/>
  <c r="F29" i="18"/>
  <c r="F30" i="18"/>
  <c r="F31" i="18"/>
  <c r="G31" i="18" s="1"/>
  <c r="F32" i="18"/>
  <c r="F33" i="18"/>
  <c r="F34" i="18"/>
  <c r="F35" i="18"/>
  <c r="F36" i="18"/>
  <c r="F37" i="18"/>
  <c r="F38" i="18"/>
  <c r="F39" i="18"/>
  <c r="F40" i="18"/>
  <c r="F41" i="18"/>
  <c r="H7" i="18"/>
  <c r="H9" i="18"/>
  <c r="H14" i="18"/>
  <c r="H16" i="18"/>
  <c r="H17" i="18"/>
  <c r="H19" i="18"/>
  <c r="H21" i="18"/>
  <c r="H22" i="18"/>
  <c r="H23" i="18"/>
  <c r="H24" i="18"/>
  <c r="H27" i="18"/>
  <c r="H29" i="18"/>
  <c r="H32" i="18"/>
  <c r="C8" i="18"/>
  <c r="D8" i="18"/>
  <c r="E8" i="18"/>
  <c r="B8" i="18"/>
  <c r="C31" i="18"/>
  <c r="D31" i="18"/>
  <c r="E31" i="18"/>
  <c r="H26" i="17"/>
  <c r="H25" i="17"/>
  <c r="H18" i="17"/>
  <c r="H17" i="17"/>
  <c r="H31" i="17" l="1"/>
  <c r="I31" i="17"/>
  <c r="G31" i="17"/>
  <c r="B10" i="17"/>
  <c r="E26" i="16"/>
  <c r="BE9" i="16"/>
  <c r="BD9" i="16"/>
  <c r="BC9" i="16"/>
  <c r="C9" i="16"/>
  <c r="D9" i="16"/>
  <c r="E9" i="16"/>
  <c r="F9" i="16"/>
  <c r="G9" i="16"/>
  <c r="H9" i="16"/>
  <c r="I9" i="16"/>
  <c r="K9" i="16"/>
  <c r="L9" i="16"/>
  <c r="M9" i="16"/>
  <c r="N9" i="16"/>
  <c r="O9" i="16"/>
  <c r="P9" i="16"/>
  <c r="Q9" i="16"/>
  <c r="R9" i="16"/>
  <c r="W9" i="16"/>
  <c r="X9" i="16"/>
  <c r="Y9" i="16"/>
  <c r="Z9" i="16"/>
  <c r="AA9" i="16"/>
  <c r="AB9" i="16"/>
  <c r="AC9" i="16"/>
  <c r="AE9" i="16"/>
  <c r="AF9" i="16"/>
  <c r="AG9" i="16"/>
  <c r="AH9" i="16"/>
  <c r="AI9" i="16"/>
  <c r="AJ9" i="16"/>
  <c r="AK9" i="16"/>
  <c r="AN9" i="16"/>
  <c r="AO9" i="16"/>
  <c r="AP9" i="16"/>
  <c r="AR9" i="16"/>
  <c r="AS9" i="16"/>
  <c r="AT9" i="16"/>
  <c r="U9" i="16"/>
  <c r="V9" i="16"/>
  <c r="AW9" i="16"/>
  <c r="B45" i="10"/>
  <c r="H47" i="10"/>
  <c r="F47" i="10"/>
  <c r="D47" i="10"/>
  <c r="R48" i="5"/>
  <c r="P48" i="5"/>
  <c r="H15" i="5"/>
  <c r="K15" i="5"/>
  <c r="M15" i="5"/>
  <c r="O15" i="5"/>
  <c r="Q15" i="5"/>
  <c r="T15" i="5"/>
  <c r="V15" i="5"/>
  <c r="X15" i="5"/>
  <c r="Z15" i="5"/>
  <c r="C34" i="21"/>
  <c r="B34" i="21"/>
  <c r="C32" i="21"/>
  <c r="B32" i="21"/>
  <c r="C26" i="21"/>
  <c r="B26" i="21"/>
  <c r="C24" i="21"/>
  <c r="B24" i="21"/>
  <c r="C19" i="21"/>
  <c r="B19" i="21"/>
  <c r="C17" i="21"/>
  <c r="B17" i="21"/>
  <c r="C14" i="21"/>
  <c r="B14" i="21"/>
  <c r="C12" i="21"/>
  <c r="B12" i="21"/>
  <c r="C8" i="21"/>
  <c r="B8" i="21"/>
  <c r="C6" i="21"/>
  <c r="B6" i="21"/>
  <c r="B28" i="21" l="1"/>
  <c r="B5" i="21"/>
  <c r="B4" i="21" s="1"/>
  <c r="C5" i="21"/>
  <c r="C28" i="21"/>
  <c r="AB15" i="5"/>
  <c r="J15" i="5"/>
  <c r="E15" i="5" s="1"/>
  <c r="S15" i="5"/>
  <c r="C4" i="21" l="1"/>
  <c r="I15" i="5"/>
  <c r="G15" i="5"/>
  <c r="C15" i="5"/>
  <c r="W15" i="5"/>
  <c r="U15" i="5"/>
  <c r="Y15" i="5"/>
  <c r="AA15" i="5"/>
  <c r="L15" i="5"/>
  <c r="P15" i="5"/>
  <c r="N15" i="5"/>
  <c r="R15" i="5"/>
  <c r="F33" i="20" l="1"/>
  <c r="G32" i="20"/>
  <c r="E32" i="20"/>
  <c r="D32" i="20"/>
  <c r="C32" i="20"/>
  <c r="B32" i="20"/>
  <c r="F31" i="20"/>
  <c r="D30" i="20"/>
  <c r="C30" i="20"/>
  <c r="B30" i="20"/>
  <c r="G27" i="20"/>
  <c r="F25" i="20"/>
  <c r="G24" i="20"/>
  <c r="E24" i="20"/>
  <c r="D24" i="20"/>
  <c r="C24" i="20"/>
  <c r="B24" i="20"/>
  <c r="F23" i="20"/>
  <c r="G22" i="20"/>
  <c r="E22" i="20"/>
  <c r="D22" i="20"/>
  <c r="C22" i="20"/>
  <c r="B22" i="20"/>
  <c r="F21" i="20"/>
  <c r="F20" i="20"/>
  <c r="F19" i="20"/>
  <c r="F18" i="20"/>
  <c r="G17" i="20"/>
  <c r="E17" i="20"/>
  <c r="D17" i="20"/>
  <c r="C17" i="20"/>
  <c r="B17" i="20"/>
  <c r="F16" i="20"/>
  <c r="G15" i="20"/>
  <c r="E15" i="20"/>
  <c r="D15" i="20"/>
  <c r="C15" i="20"/>
  <c r="B15" i="20"/>
  <c r="F14" i="20"/>
  <c r="F13" i="20"/>
  <c r="G12" i="20"/>
  <c r="F11" i="20"/>
  <c r="G10" i="20"/>
  <c r="E10" i="20"/>
  <c r="D10" i="20"/>
  <c r="C10" i="20"/>
  <c r="B10" i="20"/>
  <c r="F9" i="20"/>
  <c r="G8" i="20"/>
  <c r="E8" i="20"/>
  <c r="D8" i="20"/>
  <c r="C8" i="20"/>
  <c r="B8" i="20"/>
  <c r="F7" i="20"/>
  <c r="G6" i="20"/>
  <c r="E6" i="20"/>
  <c r="D6" i="20"/>
  <c r="C6" i="20"/>
  <c r="B6" i="20"/>
  <c r="E35" i="19"/>
  <c r="D35" i="19"/>
  <c r="C35" i="19"/>
  <c r="B35" i="19"/>
  <c r="E30" i="19"/>
  <c r="E29" i="19" s="1"/>
  <c r="D30" i="19"/>
  <c r="D29" i="19" s="1"/>
  <c r="C30" i="19"/>
  <c r="B30" i="19"/>
  <c r="E27" i="19"/>
  <c r="D27" i="19"/>
  <c r="C27" i="19"/>
  <c r="B27" i="19"/>
  <c r="E25" i="19"/>
  <c r="D25" i="19"/>
  <c r="C25" i="19"/>
  <c r="B25" i="19"/>
  <c r="E19" i="19"/>
  <c r="D19" i="19"/>
  <c r="C19" i="19"/>
  <c r="E17" i="19"/>
  <c r="D17" i="19"/>
  <c r="C17" i="19"/>
  <c r="B17" i="19"/>
  <c r="E14" i="19"/>
  <c r="D14" i="19"/>
  <c r="C14" i="19"/>
  <c r="E12" i="19"/>
  <c r="D12" i="19"/>
  <c r="C12" i="19"/>
  <c r="B12" i="19"/>
  <c r="E10" i="19"/>
  <c r="D10" i="19"/>
  <c r="C10" i="19"/>
  <c r="B10" i="19"/>
  <c r="E8" i="19"/>
  <c r="E5" i="19" s="1"/>
  <c r="D8" i="19"/>
  <c r="C8" i="19"/>
  <c r="C5" i="19" s="1"/>
  <c r="B8" i="19"/>
  <c r="B26" i="20" l="1"/>
  <c r="C26" i="20"/>
  <c r="F8" i="20"/>
  <c r="F15" i="20"/>
  <c r="E26" i="20"/>
  <c r="F26" i="20" s="1"/>
  <c r="F27" i="20"/>
  <c r="F6" i="20"/>
  <c r="G26" i="20"/>
  <c r="E4" i="19"/>
  <c r="F10" i="20"/>
  <c r="F24" i="20"/>
  <c r="F32" i="20"/>
  <c r="F17" i="20"/>
  <c r="F22" i="20"/>
  <c r="F30" i="20"/>
  <c r="D26" i="20"/>
  <c r="D5" i="19"/>
  <c r="D4" i="19" s="1"/>
  <c r="B29" i="19"/>
  <c r="C29" i="19"/>
  <c r="C4" i="19" s="1"/>
  <c r="B5" i="19"/>
  <c r="K38" i="18"/>
  <c r="J38" i="18"/>
  <c r="I38" i="18"/>
  <c r="K35" i="18"/>
  <c r="J35" i="18"/>
  <c r="I35" i="18"/>
  <c r="J31" i="18"/>
  <c r="K28" i="18"/>
  <c r="J28" i="18"/>
  <c r="I28" i="18"/>
  <c r="K26" i="18"/>
  <c r="J26" i="18"/>
  <c r="I26" i="18"/>
  <c r="J20" i="18"/>
  <c r="I20" i="18"/>
  <c r="J18" i="18"/>
  <c r="I18" i="18"/>
  <c r="J15" i="18"/>
  <c r="I15" i="18"/>
  <c r="K13" i="18"/>
  <c r="J13" i="18"/>
  <c r="I13" i="18"/>
  <c r="K11" i="18"/>
  <c r="J11" i="18"/>
  <c r="I11" i="18"/>
  <c r="K6" i="18"/>
  <c r="J6" i="18"/>
  <c r="I6" i="18"/>
  <c r="D41" i="18"/>
  <c r="C41" i="18"/>
  <c r="B41" i="18"/>
  <c r="D40" i="18"/>
  <c r="D38" i="18" s="1"/>
  <c r="C40" i="18"/>
  <c r="C38" i="18" s="1"/>
  <c r="B39" i="18"/>
  <c r="E38" i="18"/>
  <c r="D37" i="18"/>
  <c r="D35" i="18" s="1"/>
  <c r="C36" i="18"/>
  <c r="B36" i="18"/>
  <c r="B33" i="18"/>
  <c r="E28" i="18"/>
  <c r="D28" i="18"/>
  <c r="C28" i="18"/>
  <c r="B28" i="18"/>
  <c r="E26" i="18"/>
  <c r="D26" i="18"/>
  <c r="C26" i="18"/>
  <c r="B26" i="18"/>
  <c r="E20" i="18"/>
  <c r="D20" i="18"/>
  <c r="C20" i="18"/>
  <c r="B20" i="18"/>
  <c r="E18" i="18"/>
  <c r="D18" i="18"/>
  <c r="C18" i="18"/>
  <c r="B18" i="18"/>
  <c r="E15" i="18"/>
  <c r="D15" i="18"/>
  <c r="B15" i="18"/>
  <c r="E13" i="18"/>
  <c r="D13" i="18"/>
  <c r="C13" i="18"/>
  <c r="B13" i="18"/>
  <c r="E11" i="18"/>
  <c r="D11" i="18"/>
  <c r="C11" i="18"/>
  <c r="B11" i="18"/>
  <c r="E6" i="18"/>
  <c r="E5" i="18" s="1"/>
  <c r="E4" i="18" s="1"/>
  <c r="D6" i="18"/>
  <c r="D5" i="18" s="1"/>
  <c r="C6" i="18"/>
  <c r="C5" i="18" s="1"/>
  <c r="F5" i="18" s="1"/>
  <c r="G5" i="18" s="1"/>
  <c r="B6" i="18"/>
  <c r="H7" i="17"/>
  <c r="I7" i="17"/>
  <c r="H9" i="17"/>
  <c r="I9" i="17"/>
  <c r="H13" i="17"/>
  <c r="I13" i="17"/>
  <c r="H15" i="17"/>
  <c r="I15" i="17"/>
  <c r="H16" i="17"/>
  <c r="I16" i="17"/>
  <c r="I18" i="17"/>
  <c r="H20" i="17"/>
  <c r="I20" i="17"/>
  <c r="H21" i="17"/>
  <c r="I21" i="17"/>
  <c r="H22" i="17"/>
  <c r="I22" i="17"/>
  <c r="H23" i="17"/>
  <c r="I23" i="17"/>
  <c r="I26" i="17"/>
  <c r="H28" i="17"/>
  <c r="I28" i="17"/>
  <c r="L37" i="17"/>
  <c r="K37" i="17"/>
  <c r="L34" i="17"/>
  <c r="K34" i="17"/>
  <c r="K30" i="17"/>
  <c r="L27" i="17"/>
  <c r="K27" i="17"/>
  <c r="J27" i="17"/>
  <c r="L25" i="17"/>
  <c r="K25" i="17"/>
  <c r="J25" i="17"/>
  <c r="L19" i="17"/>
  <c r="K19" i="17"/>
  <c r="J19" i="17"/>
  <c r="L17" i="17"/>
  <c r="K17" i="17"/>
  <c r="J17" i="17"/>
  <c r="L14" i="17"/>
  <c r="K14" i="17"/>
  <c r="J14" i="17"/>
  <c r="L12" i="17"/>
  <c r="K12" i="17"/>
  <c r="J12" i="17"/>
  <c r="L10" i="17"/>
  <c r="K10" i="17"/>
  <c r="J10" i="17"/>
  <c r="L8" i="17"/>
  <c r="K8" i="17"/>
  <c r="J8" i="17"/>
  <c r="L6" i="17"/>
  <c r="K6" i="17"/>
  <c r="J6" i="17"/>
  <c r="B40" i="17"/>
  <c r="G40" i="17" s="1"/>
  <c r="B39" i="17"/>
  <c r="G39" i="17" s="1"/>
  <c r="F38" i="17"/>
  <c r="F37" i="17" s="1"/>
  <c r="D37" i="17"/>
  <c r="C37" i="17"/>
  <c r="B36" i="17"/>
  <c r="F35" i="17"/>
  <c r="B35" i="17" s="1"/>
  <c r="I35" i="17" s="1"/>
  <c r="E34" i="17"/>
  <c r="D34" i="17"/>
  <c r="C34" i="17"/>
  <c r="B33" i="17"/>
  <c r="F32" i="17"/>
  <c r="B32" i="17" s="1"/>
  <c r="H32" i="17" s="1"/>
  <c r="E30" i="17"/>
  <c r="D30" i="17"/>
  <c r="C30" i="17"/>
  <c r="G28" i="17"/>
  <c r="F27" i="17"/>
  <c r="E27" i="17"/>
  <c r="D27" i="17"/>
  <c r="C27" i="17"/>
  <c r="B27" i="17"/>
  <c r="F26" i="17"/>
  <c r="F25" i="17" s="1"/>
  <c r="E26" i="17"/>
  <c r="E25" i="17" s="1"/>
  <c r="C26" i="17"/>
  <c r="C25" i="17" s="1"/>
  <c r="D25" i="17"/>
  <c r="B25" i="17"/>
  <c r="G24" i="17"/>
  <c r="F24" i="17"/>
  <c r="F23" i="17"/>
  <c r="D23" i="17"/>
  <c r="G22" i="17"/>
  <c r="F22" i="17"/>
  <c r="E22" i="17"/>
  <c r="E19" i="17" s="1"/>
  <c r="D21" i="17"/>
  <c r="G20" i="17"/>
  <c r="G18" i="17"/>
  <c r="F17" i="17"/>
  <c r="E17" i="17"/>
  <c r="D17" i="17"/>
  <c r="C17" i="17"/>
  <c r="B17" i="17"/>
  <c r="G16" i="17"/>
  <c r="G15" i="17"/>
  <c r="F14" i="17"/>
  <c r="E14" i="17"/>
  <c r="D14" i="17"/>
  <c r="C14" i="17"/>
  <c r="H14" i="17"/>
  <c r="G13" i="17"/>
  <c r="F12" i="17"/>
  <c r="E12" i="17"/>
  <c r="D12" i="17"/>
  <c r="C12" i="17"/>
  <c r="B12" i="17"/>
  <c r="G11" i="17"/>
  <c r="F10" i="17"/>
  <c r="E10" i="17"/>
  <c r="D10" i="17"/>
  <c r="C10" i="17"/>
  <c r="G9" i="17"/>
  <c r="F8" i="17"/>
  <c r="E8" i="17"/>
  <c r="D8" i="17"/>
  <c r="C8" i="17"/>
  <c r="B8" i="17"/>
  <c r="G7" i="17"/>
  <c r="F6" i="17"/>
  <c r="E6" i="17"/>
  <c r="D6" i="17"/>
  <c r="C6" i="17"/>
  <c r="B6" i="17"/>
  <c r="BE42" i="16"/>
  <c r="BD42" i="16"/>
  <c r="BC42" i="16"/>
  <c r="BE40" i="16"/>
  <c r="BD40" i="16"/>
  <c r="BC40" i="16"/>
  <c r="BD37" i="16"/>
  <c r="BE34" i="16"/>
  <c r="BD34" i="16"/>
  <c r="BC34" i="16"/>
  <c r="BE32" i="16"/>
  <c r="BD32" i="16"/>
  <c r="BC32" i="16"/>
  <c r="BE26" i="16"/>
  <c r="BD26" i="16"/>
  <c r="BE24" i="16"/>
  <c r="BD24" i="16"/>
  <c r="BC24" i="16"/>
  <c r="BE21" i="16"/>
  <c r="BD21" i="16"/>
  <c r="BE19" i="16"/>
  <c r="BD19" i="16"/>
  <c r="BC19" i="16"/>
  <c r="BE15" i="16"/>
  <c r="BD15" i="16"/>
  <c r="BC15" i="16"/>
  <c r="BE12" i="16"/>
  <c r="BD12" i="16"/>
  <c r="BC12" i="16"/>
  <c r="BC36" i="16" l="1"/>
  <c r="B4" i="20"/>
  <c r="D4" i="20"/>
  <c r="C4" i="20"/>
  <c r="G4" i="20"/>
  <c r="E4" i="20"/>
  <c r="B4" i="19"/>
  <c r="J5" i="18"/>
  <c r="H6" i="18"/>
  <c r="B5" i="18"/>
  <c r="H13" i="18"/>
  <c r="H20" i="18"/>
  <c r="H33" i="18"/>
  <c r="C4" i="18"/>
  <c r="H39" i="18"/>
  <c r="H15" i="18"/>
  <c r="H18" i="18"/>
  <c r="H26" i="18"/>
  <c r="H28" i="18"/>
  <c r="H36" i="18"/>
  <c r="K4" i="18"/>
  <c r="G30" i="18"/>
  <c r="J30" i="18"/>
  <c r="J4" i="18" s="1"/>
  <c r="H6" i="17"/>
  <c r="H19" i="17"/>
  <c r="D29" i="17"/>
  <c r="G27" i="17"/>
  <c r="I8" i="17"/>
  <c r="H12" i="17"/>
  <c r="H8" i="17"/>
  <c r="I12" i="17"/>
  <c r="D19" i="17"/>
  <c r="D5" i="17" s="1"/>
  <c r="B38" i="17"/>
  <c r="H38" i="17" s="1"/>
  <c r="H27" i="17"/>
  <c r="I32" i="17"/>
  <c r="F19" i="17"/>
  <c r="F5" i="17" s="1"/>
  <c r="I25" i="17"/>
  <c r="I19" i="17"/>
  <c r="G26" i="17"/>
  <c r="I29" i="17"/>
  <c r="J5" i="17"/>
  <c r="I27" i="17"/>
  <c r="H35" i="17"/>
  <c r="I6" i="17"/>
  <c r="I14" i="17"/>
  <c r="BE8" i="16"/>
  <c r="BC8" i="16"/>
  <c r="F5" i="20"/>
  <c r="B37" i="18"/>
  <c r="D30" i="18"/>
  <c r="D4" i="18" s="1"/>
  <c r="C37" i="18"/>
  <c r="C35" i="18" s="1"/>
  <c r="C30" i="18" s="1"/>
  <c r="B40" i="18"/>
  <c r="B38" i="18" s="1"/>
  <c r="H29" i="17"/>
  <c r="K5" i="17"/>
  <c r="K29" i="17"/>
  <c r="G25" i="17"/>
  <c r="L5" i="17"/>
  <c r="I17" i="17"/>
  <c r="G32" i="17"/>
  <c r="G6" i="17"/>
  <c r="E5" i="17"/>
  <c r="G14" i="17"/>
  <c r="G8" i="17"/>
  <c r="G12" i="17"/>
  <c r="G23" i="17"/>
  <c r="G33" i="17"/>
  <c r="G21" i="17"/>
  <c r="C19" i="17"/>
  <c r="G10" i="17"/>
  <c r="B34" i="17"/>
  <c r="G17" i="17"/>
  <c r="G36" i="17"/>
  <c r="F34" i="17"/>
  <c r="G34" i="17"/>
  <c r="G35" i="17"/>
  <c r="BD36" i="16"/>
  <c r="BE36" i="16"/>
  <c r="BD8" i="16"/>
  <c r="AQ43" i="16"/>
  <c r="AQ42" i="16" s="1"/>
  <c r="AD43" i="16"/>
  <c r="AD42" i="16" s="1"/>
  <c r="J43" i="16"/>
  <c r="AW42" i="16"/>
  <c r="V42" i="16"/>
  <c r="U42" i="16"/>
  <c r="AU42" i="16"/>
  <c r="AT42" i="16"/>
  <c r="AS42" i="16"/>
  <c r="AR42" i="16"/>
  <c r="AP42" i="16"/>
  <c r="AO42" i="16"/>
  <c r="AN42" i="16"/>
  <c r="AL42" i="16"/>
  <c r="AK42" i="16"/>
  <c r="AJ42" i="16"/>
  <c r="AI42" i="16"/>
  <c r="AH42" i="16"/>
  <c r="AG42" i="16"/>
  <c r="AF42" i="16"/>
  <c r="AE42" i="16"/>
  <c r="AC42" i="16"/>
  <c r="AB42" i="16"/>
  <c r="AA42" i="16"/>
  <c r="Z42" i="16"/>
  <c r="Y42" i="16"/>
  <c r="X42" i="16"/>
  <c r="W42" i="16"/>
  <c r="S42" i="16"/>
  <c r="R42" i="16"/>
  <c r="Q42" i="16"/>
  <c r="P42" i="16"/>
  <c r="O42" i="16"/>
  <c r="N42" i="16"/>
  <c r="M42" i="16"/>
  <c r="L42" i="16"/>
  <c r="K42" i="16"/>
  <c r="I42" i="16"/>
  <c r="H42" i="16"/>
  <c r="G42" i="16"/>
  <c r="F42" i="16"/>
  <c r="E42" i="16"/>
  <c r="D42" i="16"/>
  <c r="C42" i="16"/>
  <c r="B42" i="16"/>
  <c r="AD41" i="16"/>
  <c r="AD40" i="16" s="1"/>
  <c r="J41" i="16"/>
  <c r="AW40" i="16"/>
  <c r="AW36" i="16" s="1"/>
  <c r="V40" i="16"/>
  <c r="U40" i="16"/>
  <c r="AP40" i="16"/>
  <c r="AO40" i="16"/>
  <c r="AN40" i="16"/>
  <c r="AC40" i="16"/>
  <c r="AB40" i="16"/>
  <c r="AA40" i="16"/>
  <c r="Z40" i="16"/>
  <c r="Y40" i="16"/>
  <c r="X40" i="16"/>
  <c r="W40" i="16"/>
  <c r="S40" i="16"/>
  <c r="R40" i="16"/>
  <c r="Q40" i="16"/>
  <c r="P40" i="16"/>
  <c r="O40" i="16"/>
  <c r="N40" i="16"/>
  <c r="M40" i="16"/>
  <c r="L40" i="16"/>
  <c r="K40" i="16"/>
  <c r="I40" i="16"/>
  <c r="H40" i="16"/>
  <c r="G40" i="16"/>
  <c r="F40" i="16"/>
  <c r="E40" i="16"/>
  <c r="D40" i="16"/>
  <c r="C40" i="16"/>
  <c r="B40" i="16"/>
  <c r="AU39" i="16"/>
  <c r="AD39" i="16"/>
  <c r="AM39" i="16" s="1"/>
  <c r="J39" i="16"/>
  <c r="T39" i="16" s="1"/>
  <c r="V37" i="16"/>
  <c r="U37" i="16"/>
  <c r="AT37" i="16"/>
  <c r="AS37" i="16"/>
  <c r="AR37" i="16"/>
  <c r="AP37" i="16"/>
  <c r="AO37" i="16"/>
  <c r="AN37" i="16"/>
  <c r="AL37" i="16"/>
  <c r="AK37" i="16"/>
  <c r="AJ37" i="16"/>
  <c r="AI37" i="16"/>
  <c r="AH37" i="16"/>
  <c r="AG37" i="16"/>
  <c r="AF37" i="16"/>
  <c r="AE37" i="16"/>
  <c r="AC37" i="16"/>
  <c r="AB37" i="16"/>
  <c r="AA37" i="16"/>
  <c r="Z37" i="16"/>
  <c r="Y37" i="16"/>
  <c r="X37" i="16"/>
  <c r="W37" i="16"/>
  <c r="S37" i="16"/>
  <c r="R37" i="16"/>
  <c r="Q37" i="16"/>
  <c r="P37" i="16"/>
  <c r="O37" i="16"/>
  <c r="N37" i="16"/>
  <c r="M37" i="16"/>
  <c r="L37" i="16"/>
  <c r="K37" i="16"/>
  <c r="I37" i="16"/>
  <c r="H37" i="16"/>
  <c r="G37" i="16"/>
  <c r="F37" i="16"/>
  <c r="E37" i="16"/>
  <c r="D37" i="16"/>
  <c r="C37" i="16"/>
  <c r="B37" i="16"/>
  <c r="AU35" i="16"/>
  <c r="AQ35" i="16"/>
  <c r="AL35" i="16"/>
  <c r="AD35" i="16"/>
  <c r="S35" i="16"/>
  <c r="J35" i="16"/>
  <c r="V34" i="16"/>
  <c r="U34" i="16"/>
  <c r="AT34" i="16"/>
  <c r="AS34" i="16"/>
  <c r="AR34" i="16"/>
  <c r="AP34" i="16"/>
  <c r="AO34" i="16"/>
  <c r="AN34" i="16"/>
  <c r="AK34" i="16"/>
  <c r="AJ34" i="16"/>
  <c r="AI34" i="16"/>
  <c r="AH34" i="16"/>
  <c r="AG34" i="16"/>
  <c r="AF34" i="16"/>
  <c r="AE34" i="16"/>
  <c r="AC34" i="16"/>
  <c r="AB34" i="16"/>
  <c r="AA34" i="16"/>
  <c r="Z34" i="16"/>
  <c r="Y34" i="16"/>
  <c r="X34" i="16"/>
  <c r="R34" i="16"/>
  <c r="Q34" i="16"/>
  <c r="P34" i="16"/>
  <c r="O34" i="16"/>
  <c r="N34" i="16"/>
  <c r="M34" i="16"/>
  <c r="L34" i="16"/>
  <c r="K34" i="16"/>
  <c r="I34" i="16"/>
  <c r="H34" i="16"/>
  <c r="G34" i="16"/>
  <c r="F34" i="16"/>
  <c r="E34" i="16"/>
  <c r="D34" i="16"/>
  <c r="C34" i="16"/>
  <c r="B34" i="16"/>
  <c r="AU33" i="16"/>
  <c r="AQ33" i="16"/>
  <c r="AL33" i="16"/>
  <c r="AD33" i="16"/>
  <c r="S33" i="16"/>
  <c r="J33" i="16"/>
  <c r="AW32" i="16"/>
  <c r="V32" i="16"/>
  <c r="U32" i="16"/>
  <c r="AT32" i="16"/>
  <c r="AS32" i="16"/>
  <c r="AR32" i="16"/>
  <c r="AP32" i="16"/>
  <c r="AO32" i="16"/>
  <c r="AN32" i="16"/>
  <c r="AK32" i="16"/>
  <c r="AJ32" i="16"/>
  <c r="AI32" i="16"/>
  <c r="AH32" i="16"/>
  <c r="AG32" i="16"/>
  <c r="AF32" i="16"/>
  <c r="AE32" i="16"/>
  <c r="AC32" i="16"/>
  <c r="AB32" i="16"/>
  <c r="AA32" i="16"/>
  <c r="Z32" i="16"/>
  <c r="Y32" i="16"/>
  <c r="X32" i="16"/>
  <c r="W32" i="16"/>
  <c r="R32" i="16"/>
  <c r="Q32" i="16"/>
  <c r="P32" i="16"/>
  <c r="O32" i="16"/>
  <c r="N32" i="16"/>
  <c r="M32" i="16"/>
  <c r="L32" i="16"/>
  <c r="K32" i="16"/>
  <c r="I32" i="16"/>
  <c r="H32" i="16"/>
  <c r="G32" i="16"/>
  <c r="F32" i="16"/>
  <c r="E32" i="16"/>
  <c r="D32" i="16"/>
  <c r="C32" i="16"/>
  <c r="B32" i="16"/>
  <c r="AU29" i="16"/>
  <c r="AQ29" i="16"/>
  <c r="AL29" i="16"/>
  <c r="AD29" i="16"/>
  <c r="S29" i="16"/>
  <c r="J29" i="16"/>
  <c r="AU30" i="16"/>
  <c r="AQ30" i="16"/>
  <c r="AL30" i="16"/>
  <c r="AD30" i="16"/>
  <c r="S30" i="16"/>
  <c r="J30" i="16"/>
  <c r="AU28" i="16"/>
  <c r="AQ28" i="16"/>
  <c r="AL28" i="16"/>
  <c r="AD28" i="16"/>
  <c r="S28" i="16"/>
  <c r="J28" i="16"/>
  <c r="AU27" i="16"/>
  <c r="AQ27" i="16"/>
  <c r="AL27" i="16"/>
  <c r="AD27" i="16"/>
  <c r="S27" i="16"/>
  <c r="J27" i="16"/>
  <c r="AW26" i="16"/>
  <c r="V26" i="16"/>
  <c r="U26" i="16"/>
  <c r="AT26" i="16"/>
  <c r="AS26" i="16"/>
  <c r="AR26" i="16"/>
  <c r="AP26" i="16"/>
  <c r="AO26" i="16"/>
  <c r="AK26" i="16"/>
  <c r="AJ26" i="16"/>
  <c r="AI26" i="16"/>
  <c r="AH26" i="16"/>
  <c r="AG26" i="16"/>
  <c r="AF26" i="16"/>
  <c r="AE26" i="16"/>
  <c r="AC26" i="16"/>
  <c r="AB26" i="16"/>
  <c r="AA26" i="16"/>
  <c r="Z26" i="16"/>
  <c r="Y26" i="16"/>
  <c r="X26" i="16"/>
  <c r="W26" i="16"/>
  <c r="R26" i="16"/>
  <c r="Q26" i="16"/>
  <c r="P26" i="16"/>
  <c r="O26" i="16"/>
  <c r="N26" i="16"/>
  <c r="M26" i="16"/>
  <c r="L26" i="16"/>
  <c r="K26" i="16"/>
  <c r="I26" i="16"/>
  <c r="H26" i="16"/>
  <c r="G26" i="16"/>
  <c r="F26" i="16"/>
  <c r="D26" i="16"/>
  <c r="C26" i="16"/>
  <c r="AU25" i="16"/>
  <c r="AQ25" i="16"/>
  <c r="AL25" i="16"/>
  <c r="AD25" i="16"/>
  <c r="S25" i="16"/>
  <c r="J25" i="16"/>
  <c r="AW24" i="16"/>
  <c r="V24" i="16"/>
  <c r="U24" i="16"/>
  <c r="AT24" i="16"/>
  <c r="AS24" i="16"/>
  <c r="AR24" i="16"/>
  <c r="AP24" i="16"/>
  <c r="AO24" i="16"/>
  <c r="AN24" i="16"/>
  <c r="AK24" i="16"/>
  <c r="AJ24" i="16"/>
  <c r="AI24" i="16"/>
  <c r="AH24" i="16"/>
  <c r="AG24" i="16"/>
  <c r="AF24" i="16"/>
  <c r="AE24" i="16"/>
  <c r="AC24" i="16"/>
  <c r="AB24" i="16"/>
  <c r="AA24" i="16"/>
  <c r="Z24" i="16"/>
  <c r="Y24" i="16"/>
  <c r="X24" i="16"/>
  <c r="W24" i="16"/>
  <c r="R24" i="16"/>
  <c r="Q24" i="16"/>
  <c r="P24" i="16"/>
  <c r="O24" i="16"/>
  <c r="N24" i="16"/>
  <c r="M24" i="16"/>
  <c r="L24" i="16"/>
  <c r="K24" i="16"/>
  <c r="I24" i="16"/>
  <c r="H24" i="16"/>
  <c r="G24" i="16"/>
  <c r="F24" i="16"/>
  <c r="E24" i="16"/>
  <c r="D24" i="16"/>
  <c r="C24" i="16"/>
  <c r="B24" i="16"/>
  <c r="AU23" i="16"/>
  <c r="AQ23" i="16"/>
  <c r="AL23" i="16"/>
  <c r="AD23" i="16"/>
  <c r="S23" i="16"/>
  <c r="J23" i="16"/>
  <c r="AU22" i="16"/>
  <c r="AQ22" i="16"/>
  <c r="AL22" i="16"/>
  <c r="AD22" i="16"/>
  <c r="S22" i="16"/>
  <c r="J22" i="16"/>
  <c r="AW21" i="16"/>
  <c r="V21" i="16"/>
  <c r="U21" i="16"/>
  <c r="AT21" i="16"/>
  <c r="AS21" i="16"/>
  <c r="AR21" i="16"/>
  <c r="AP21" i="16"/>
  <c r="AO21" i="16"/>
  <c r="AN21" i="16"/>
  <c r="AK21" i="16"/>
  <c r="AJ21" i="16"/>
  <c r="AI21" i="16"/>
  <c r="AH21" i="16"/>
  <c r="AG21" i="16"/>
  <c r="AF21" i="16"/>
  <c r="AE21" i="16"/>
  <c r="AC21" i="16"/>
  <c r="AB21" i="16"/>
  <c r="AA21" i="16"/>
  <c r="Z21" i="16"/>
  <c r="Y21" i="16"/>
  <c r="X21" i="16"/>
  <c r="W21" i="16"/>
  <c r="R21" i="16"/>
  <c r="Q21" i="16"/>
  <c r="P21" i="16"/>
  <c r="N21" i="16"/>
  <c r="M21" i="16"/>
  <c r="L21" i="16"/>
  <c r="K21" i="16"/>
  <c r="I21" i="16"/>
  <c r="H21" i="16"/>
  <c r="G21" i="16"/>
  <c r="F21" i="16"/>
  <c r="E21" i="16"/>
  <c r="D21" i="16"/>
  <c r="C21" i="16"/>
  <c r="B21" i="16"/>
  <c r="AU20" i="16"/>
  <c r="AN20" i="16"/>
  <c r="AN7" i="16" s="1"/>
  <c r="AL20" i="16"/>
  <c r="W20" i="16"/>
  <c r="S20" i="16"/>
  <c r="I20" i="16"/>
  <c r="G20" i="16"/>
  <c r="C20" i="16"/>
  <c r="B20" i="16"/>
  <c r="V19" i="16"/>
  <c r="U19" i="16"/>
  <c r="AR19" i="16"/>
  <c r="AU19" i="16" s="1"/>
  <c r="AP19" i="16"/>
  <c r="AO19" i="16"/>
  <c r="AK19" i="16"/>
  <c r="AJ19" i="16"/>
  <c r="AI19" i="16"/>
  <c r="AH19" i="16"/>
  <c r="AG19" i="16"/>
  <c r="AF19" i="16"/>
  <c r="AE19" i="16"/>
  <c r="AC19" i="16"/>
  <c r="AB19" i="16"/>
  <c r="AA19" i="16"/>
  <c r="Z19" i="16"/>
  <c r="Y19" i="16"/>
  <c r="X19" i="16"/>
  <c r="R19" i="16"/>
  <c r="Q19" i="16"/>
  <c r="P19" i="16"/>
  <c r="O19" i="16"/>
  <c r="N19" i="16"/>
  <c r="M19" i="16"/>
  <c r="L19" i="16"/>
  <c r="K19" i="16"/>
  <c r="H19" i="16"/>
  <c r="F19" i="16"/>
  <c r="E19" i="16"/>
  <c r="D19" i="16"/>
  <c r="AU16" i="16"/>
  <c r="AP16" i="16"/>
  <c r="AQ16" i="16" s="1"/>
  <c r="AL16" i="16"/>
  <c r="AD16" i="16"/>
  <c r="S16" i="16"/>
  <c r="J16" i="16"/>
  <c r="AU18" i="16"/>
  <c r="AQ18" i="16"/>
  <c r="AL18" i="16"/>
  <c r="AD18" i="16"/>
  <c r="S18" i="16"/>
  <c r="J18" i="16"/>
  <c r="AU17" i="16"/>
  <c r="AQ17" i="16"/>
  <c r="AL17" i="16"/>
  <c r="AD17" i="16"/>
  <c r="S17" i="16"/>
  <c r="J17" i="16"/>
  <c r="AW15" i="16"/>
  <c r="V15" i="16"/>
  <c r="U15" i="16"/>
  <c r="AT15" i="16"/>
  <c r="AS15" i="16"/>
  <c r="AR15" i="16"/>
  <c r="AO15" i="16"/>
  <c r="AN15" i="16"/>
  <c r="AK15" i="16"/>
  <c r="AJ15" i="16"/>
  <c r="AI15" i="16"/>
  <c r="AH15" i="16"/>
  <c r="AG15" i="16"/>
  <c r="AF15" i="16"/>
  <c r="AE15" i="16"/>
  <c r="AC15" i="16"/>
  <c r="AB15" i="16"/>
  <c r="AA15" i="16"/>
  <c r="Z15" i="16"/>
  <c r="Y15" i="16"/>
  <c r="X15" i="16"/>
  <c r="W15" i="16"/>
  <c r="R15" i="16"/>
  <c r="Q15" i="16"/>
  <c r="P15" i="16"/>
  <c r="O15" i="16"/>
  <c r="N15" i="16"/>
  <c r="M15" i="16"/>
  <c r="L15" i="16"/>
  <c r="K15" i="16"/>
  <c r="I15" i="16"/>
  <c r="H15" i="16"/>
  <c r="G15" i="16"/>
  <c r="F15" i="16"/>
  <c r="E15" i="16"/>
  <c r="D15" i="16"/>
  <c r="C15" i="16"/>
  <c r="B15" i="16"/>
  <c r="AU13" i="16"/>
  <c r="AQ13" i="16"/>
  <c r="AL13" i="16"/>
  <c r="AD13" i="16"/>
  <c r="S13" i="16"/>
  <c r="J13" i="16"/>
  <c r="AW12" i="16"/>
  <c r="V12" i="16"/>
  <c r="U12" i="16"/>
  <c r="AT12" i="16"/>
  <c r="AS12" i="16"/>
  <c r="AR12" i="16"/>
  <c r="AP12" i="16"/>
  <c r="AO12" i="16"/>
  <c r="AN12" i="16"/>
  <c r="AK12" i="16"/>
  <c r="AJ12" i="16"/>
  <c r="AI12" i="16"/>
  <c r="AH12" i="16"/>
  <c r="AG12" i="16"/>
  <c r="AF12" i="16"/>
  <c r="AE12" i="16"/>
  <c r="AC12" i="16"/>
  <c r="AB12" i="16"/>
  <c r="AA12" i="16"/>
  <c r="Z12" i="16"/>
  <c r="Y12" i="16"/>
  <c r="X12" i="16"/>
  <c r="W12" i="16"/>
  <c r="R12" i="16"/>
  <c r="Q12" i="16"/>
  <c r="P12" i="16"/>
  <c r="O12" i="16"/>
  <c r="N12" i="16"/>
  <c r="M12" i="16"/>
  <c r="L12" i="16"/>
  <c r="K12" i="16"/>
  <c r="I12" i="16"/>
  <c r="H12" i="16"/>
  <c r="G12" i="16"/>
  <c r="F12" i="16"/>
  <c r="E12" i="16"/>
  <c r="D12" i="16"/>
  <c r="C12" i="16"/>
  <c r="AU10" i="16"/>
  <c r="AQ10" i="16"/>
  <c r="AL10" i="16"/>
  <c r="AD10" i="16"/>
  <c r="S10" i="16"/>
  <c r="J10" i="16"/>
  <c r="AU11" i="16"/>
  <c r="AQ11" i="16"/>
  <c r="AL11" i="16"/>
  <c r="AD11" i="16"/>
  <c r="S11" i="16"/>
  <c r="B11" i="16"/>
  <c r="B9" i="16" s="1"/>
  <c r="B6" i="12"/>
  <c r="D6" i="12"/>
  <c r="B8" i="12"/>
  <c r="D8" i="12"/>
  <c r="B7" i="12"/>
  <c r="D7" i="12"/>
  <c r="B14" i="12"/>
  <c r="D14" i="12"/>
  <c r="B10" i="12"/>
  <c r="D10" i="12"/>
  <c r="B11" i="12"/>
  <c r="D11" i="12"/>
  <c r="B12" i="12"/>
  <c r="D12" i="12"/>
  <c r="B13" i="12"/>
  <c r="D13" i="12"/>
  <c r="B16" i="12"/>
  <c r="D16" i="12"/>
  <c r="B17" i="12"/>
  <c r="D17" i="12"/>
  <c r="B18" i="12"/>
  <c r="D18" i="12"/>
  <c r="B19" i="12"/>
  <c r="D19" i="12"/>
  <c r="B21" i="12"/>
  <c r="D21" i="12"/>
  <c r="B22" i="12"/>
  <c r="D22" i="12"/>
  <c r="B23" i="12"/>
  <c r="D23" i="12"/>
  <c r="B30" i="12"/>
  <c r="D30" i="12"/>
  <c r="B31" i="12"/>
  <c r="D31" i="12"/>
  <c r="B25" i="12"/>
  <c r="D25" i="12"/>
  <c r="B29" i="12"/>
  <c r="D29" i="12"/>
  <c r="B27" i="12"/>
  <c r="D27" i="12"/>
  <c r="B28" i="12"/>
  <c r="D28" i="12"/>
  <c r="B32" i="12"/>
  <c r="D32" i="12"/>
  <c r="B24" i="12"/>
  <c r="D24" i="12"/>
  <c r="B26" i="12"/>
  <c r="D26" i="12"/>
  <c r="B34" i="12"/>
  <c r="D34" i="12"/>
  <c r="B38" i="12"/>
  <c r="D38" i="12"/>
  <c r="B37" i="12"/>
  <c r="D37" i="12"/>
  <c r="B39" i="12"/>
  <c r="D39" i="12"/>
  <c r="B36" i="12"/>
  <c r="D36" i="12"/>
  <c r="B41" i="12"/>
  <c r="D41" i="12"/>
  <c r="B43" i="12"/>
  <c r="D43" i="12"/>
  <c r="B45" i="12"/>
  <c r="D45" i="12"/>
  <c r="D49" i="12"/>
  <c r="D51" i="12"/>
  <c r="D53" i="12"/>
  <c r="K6" i="12"/>
  <c r="H6" i="12" s="1"/>
  <c r="K8" i="12"/>
  <c r="J8" i="12" s="1"/>
  <c r="K7" i="12"/>
  <c r="H7" i="12" s="1"/>
  <c r="K14" i="12"/>
  <c r="J14" i="12" s="1"/>
  <c r="K10" i="12"/>
  <c r="H10" i="12" s="1"/>
  <c r="K11" i="12"/>
  <c r="K12" i="12"/>
  <c r="K13" i="12"/>
  <c r="H13" i="12" s="1"/>
  <c r="K16" i="12"/>
  <c r="H16" i="12" s="1"/>
  <c r="K17" i="12"/>
  <c r="K18" i="12"/>
  <c r="J18" i="12" s="1"/>
  <c r="K19" i="12"/>
  <c r="J19" i="12" s="1"/>
  <c r="K21" i="12"/>
  <c r="K22" i="12"/>
  <c r="H22" i="12" s="1"/>
  <c r="K23" i="12"/>
  <c r="K30" i="12"/>
  <c r="K31" i="12"/>
  <c r="K25" i="12"/>
  <c r="J25" i="12" s="1"/>
  <c r="K29" i="12"/>
  <c r="H29" i="12" s="1"/>
  <c r="K27" i="12"/>
  <c r="J27" i="12" s="1"/>
  <c r="K28" i="12"/>
  <c r="K32" i="12"/>
  <c r="H32" i="12" s="1"/>
  <c r="K24" i="12"/>
  <c r="H24" i="12" s="1"/>
  <c r="K26" i="12"/>
  <c r="H26" i="12" s="1"/>
  <c r="K34" i="12"/>
  <c r="J34" i="12" s="1"/>
  <c r="K38" i="12"/>
  <c r="H38" i="12" s="1"/>
  <c r="K37" i="12"/>
  <c r="K39" i="12"/>
  <c r="H39" i="12" s="1"/>
  <c r="K36" i="12"/>
  <c r="J36" i="12" s="1"/>
  <c r="K41" i="12"/>
  <c r="K43" i="12"/>
  <c r="H43" i="12" s="1"/>
  <c r="K45" i="12"/>
  <c r="P6" i="12"/>
  <c r="M6" i="12" s="1"/>
  <c r="P8" i="12"/>
  <c r="P7" i="12"/>
  <c r="O7" i="12" s="1"/>
  <c r="P14" i="12"/>
  <c r="O14" i="12" s="1"/>
  <c r="P10" i="12"/>
  <c r="M10" i="12" s="1"/>
  <c r="P11" i="12"/>
  <c r="P12" i="12"/>
  <c r="P13" i="12"/>
  <c r="P16" i="12"/>
  <c r="P17" i="12"/>
  <c r="P18" i="12"/>
  <c r="P19" i="12"/>
  <c r="P21" i="12"/>
  <c r="P22" i="12"/>
  <c r="P23" i="12"/>
  <c r="M23" i="12" s="1"/>
  <c r="P30" i="12"/>
  <c r="O30" i="12" s="1"/>
  <c r="P31" i="12"/>
  <c r="P25" i="12"/>
  <c r="P29" i="12"/>
  <c r="M29" i="12" s="1"/>
  <c r="P27" i="12"/>
  <c r="P28" i="12"/>
  <c r="P32" i="12"/>
  <c r="P24" i="12"/>
  <c r="M24" i="12" s="1"/>
  <c r="P26" i="12"/>
  <c r="M26" i="12" s="1"/>
  <c r="P34" i="12"/>
  <c r="O34" i="12" s="1"/>
  <c r="P38" i="12"/>
  <c r="M38" i="12" s="1"/>
  <c r="P37" i="12"/>
  <c r="P39" i="12"/>
  <c r="M39" i="12" s="1"/>
  <c r="P36" i="12"/>
  <c r="M36" i="12" s="1"/>
  <c r="P41" i="12"/>
  <c r="P43" i="12"/>
  <c r="M43" i="12" s="1"/>
  <c r="P45" i="12"/>
  <c r="L53" i="12"/>
  <c r="G53" i="12"/>
  <c r="N52" i="12"/>
  <c r="I52" i="12"/>
  <c r="L51" i="12"/>
  <c r="L50" i="12" s="1"/>
  <c r="G51" i="12"/>
  <c r="N50" i="12"/>
  <c r="I50" i="12"/>
  <c r="L49" i="12"/>
  <c r="P49" i="12" s="1"/>
  <c r="O49" i="12" s="1"/>
  <c r="G49" i="12"/>
  <c r="N47" i="12"/>
  <c r="AM44" i="12"/>
  <c r="AK44" i="12"/>
  <c r="AH44" i="12"/>
  <c r="AC44" i="12"/>
  <c r="AA44" i="12"/>
  <c r="X44" i="12"/>
  <c r="V44" i="12"/>
  <c r="S44" i="12"/>
  <c r="N44" i="12"/>
  <c r="L44" i="12"/>
  <c r="I44" i="12"/>
  <c r="G44" i="12"/>
  <c r="AM42" i="12"/>
  <c r="AK42" i="12"/>
  <c r="AH42" i="12"/>
  <c r="AC42" i="12"/>
  <c r="AA42" i="12"/>
  <c r="X42" i="12"/>
  <c r="V42" i="12"/>
  <c r="S42" i="12"/>
  <c r="N42" i="12"/>
  <c r="L42" i="12"/>
  <c r="I42" i="12"/>
  <c r="G42" i="12"/>
  <c r="AM40" i="12"/>
  <c r="AK40" i="12"/>
  <c r="AH40" i="12"/>
  <c r="AC40" i="12"/>
  <c r="AA40" i="12"/>
  <c r="X40" i="12"/>
  <c r="V40" i="12"/>
  <c r="N40" i="12"/>
  <c r="L40" i="12"/>
  <c r="I40" i="12"/>
  <c r="G40" i="12"/>
  <c r="AM35" i="12"/>
  <c r="AK35" i="12"/>
  <c r="AH35" i="12"/>
  <c r="AC35" i="12"/>
  <c r="AA35" i="12"/>
  <c r="X35" i="12"/>
  <c r="V35" i="12"/>
  <c r="AM33" i="12"/>
  <c r="AK33" i="12"/>
  <c r="AH33" i="12"/>
  <c r="AC33" i="12"/>
  <c r="AA33" i="12"/>
  <c r="X33" i="12"/>
  <c r="V33" i="12"/>
  <c r="S33" i="12"/>
  <c r="N33" i="12"/>
  <c r="L33" i="12"/>
  <c r="I33" i="12"/>
  <c r="G33" i="12"/>
  <c r="AM20" i="12"/>
  <c r="AK20" i="12"/>
  <c r="AH20" i="12"/>
  <c r="AC20" i="12"/>
  <c r="AA20" i="12"/>
  <c r="X20" i="12"/>
  <c r="V20" i="12"/>
  <c r="S20" i="12"/>
  <c r="N20" i="12"/>
  <c r="L20" i="12"/>
  <c r="I20" i="12"/>
  <c r="B20" i="12"/>
  <c r="AM15" i="12"/>
  <c r="AK15" i="12"/>
  <c r="AH15" i="12"/>
  <c r="AC15" i="12"/>
  <c r="AA15" i="12"/>
  <c r="X15" i="12"/>
  <c r="V15" i="12"/>
  <c r="S15" i="12"/>
  <c r="N15" i="12"/>
  <c r="L15" i="12"/>
  <c r="I15" i="12"/>
  <c r="D15" i="12" s="1"/>
  <c r="AM5" i="12"/>
  <c r="AK5" i="12"/>
  <c r="AH5" i="12"/>
  <c r="AC5" i="12"/>
  <c r="AA5" i="12"/>
  <c r="X5" i="12"/>
  <c r="V5" i="12"/>
  <c r="S5" i="12"/>
  <c r="N5" i="12"/>
  <c r="L5" i="12"/>
  <c r="I5" i="12"/>
  <c r="AF4" i="12"/>
  <c r="AW8" i="16" l="1"/>
  <c r="S6" i="16"/>
  <c r="AU6" i="16"/>
  <c r="AL6" i="16"/>
  <c r="AW5" i="16"/>
  <c r="S7" i="16"/>
  <c r="AU7" i="16"/>
  <c r="C19" i="16"/>
  <c r="C8" i="16" s="1"/>
  <c r="C7" i="16"/>
  <c r="AD20" i="16"/>
  <c r="AD7" i="16" s="1"/>
  <c r="W7" i="16"/>
  <c r="J6" i="16"/>
  <c r="AQ6" i="16"/>
  <c r="B19" i="16"/>
  <c r="B7" i="16"/>
  <c r="G19" i="16"/>
  <c r="G8" i="16" s="1"/>
  <c r="G7" i="16"/>
  <c r="AL7" i="16"/>
  <c r="I19" i="16"/>
  <c r="I7" i="16"/>
  <c r="AD6" i="16"/>
  <c r="AO5" i="12"/>
  <c r="AO20" i="12"/>
  <c r="AN20" i="12" s="1"/>
  <c r="AL20" i="12"/>
  <c r="AO33" i="12"/>
  <c r="AO42" i="12"/>
  <c r="AO9" i="12"/>
  <c r="AO35" i="12"/>
  <c r="AO44" i="12"/>
  <c r="AO15" i="12"/>
  <c r="AN15" i="12" s="1"/>
  <c r="AO40" i="12"/>
  <c r="AB40" i="12"/>
  <c r="Z33" i="12"/>
  <c r="Z40" i="12"/>
  <c r="Z42" i="12"/>
  <c r="Z44" i="12"/>
  <c r="Y44" i="12" s="1"/>
  <c r="W44" i="12"/>
  <c r="AE33" i="12"/>
  <c r="AD33" i="12" s="1"/>
  <c r="AE40" i="12"/>
  <c r="AD40" i="12" s="1"/>
  <c r="AE42" i="12"/>
  <c r="AD42" i="12" s="1"/>
  <c r="AE44" i="12"/>
  <c r="AD44" i="12" s="1"/>
  <c r="Z15" i="12"/>
  <c r="Y15" i="12" s="1"/>
  <c r="AE5" i="12"/>
  <c r="AD5" i="12" s="1"/>
  <c r="AE9" i="12"/>
  <c r="AE20" i="12"/>
  <c r="AD20" i="12" s="1"/>
  <c r="AE35" i="12"/>
  <c r="Z5" i="12"/>
  <c r="AE15" i="12"/>
  <c r="AD15" i="12" s="1"/>
  <c r="Z20" i="12"/>
  <c r="Y20" i="12" s="1"/>
  <c r="Z9" i="12"/>
  <c r="Y9" i="12" s="1"/>
  <c r="Z35" i="12"/>
  <c r="F4" i="20"/>
  <c r="H38" i="18"/>
  <c r="H31" i="18"/>
  <c r="D4" i="17"/>
  <c r="G38" i="17"/>
  <c r="I38" i="17"/>
  <c r="B37" i="17"/>
  <c r="H37" i="17" s="1"/>
  <c r="G19" i="17"/>
  <c r="L4" i="17"/>
  <c r="K4" i="17"/>
  <c r="C5" i="17"/>
  <c r="C4" i="17" s="1"/>
  <c r="H4" i="17"/>
  <c r="E4" i="17"/>
  <c r="BE5" i="16"/>
  <c r="AE36" i="16"/>
  <c r="AI36" i="16"/>
  <c r="AS36" i="16"/>
  <c r="BC5" i="16"/>
  <c r="T23" i="16"/>
  <c r="AL9" i="16"/>
  <c r="AQ9" i="16"/>
  <c r="B12" i="16"/>
  <c r="AD24" i="16"/>
  <c r="AU24" i="16"/>
  <c r="T27" i="16"/>
  <c r="AZ27" i="16" s="1"/>
  <c r="AM28" i="16"/>
  <c r="T30" i="16"/>
  <c r="AZ30" i="16" s="1"/>
  <c r="S9" i="16"/>
  <c r="AU9" i="16"/>
  <c r="AD9" i="16"/>
  <c r="AV22" i="16"/>
  <c r="BB22" i="16" s="1"/>
  <c r="AL36" i="16"/>
  <c r="AV28" i="16"/>
  <c r="BB28" i="16" s="1"/>
  <c r="AM18" i="16"/>
  <c r="AY39" i="16"/>
  <c r="AZ39" i="16"/>
  <c r="AV33" i="16"/>
  <c r="D36" i="16"/>
  <c r="N36" i="16"/>
  <c r="Q36" i="16"/>
  <c r="P36" i="16"/>
  <c r="V36" i="16"/>
  <c r="AM29" i="16"/>
  <c r="AD34" i="16"/>
  <c r="AU34" i="16"/>
  <c r="AM35" i="16"/>
  <c r="AV39" i="16"/>
  <c r="AV37" i="16" s="1"/>
  <c r="BD5" i="16"/>
  <c r="K5" i="12"/>
  <c r="Q5" i="12" s="1"/>
  <c r="P15" i="12"/>
  <c r="M15" i="12" s="1"/>
  <c r="K33" i="12"/>
  <c r="J33" i="12" s="1"/>
  <c r="P40" i="12"/>
  <c r="O40" i="12" s="1"/>
  <c r="D33" i="12"/>
  <c r="D50" i="12"/>
  <c r="D35" i="12"/>
  <c r="D20" i="12"/>
  <c r="F20" i="12" s="1"/>
  <c r="E20" i="12" s="1"/>
  <c r="D42" i="12"/>
  <c r="B44" i="12"/>
  <c r="K35" i="12"/>
  <c r="F29" i="12"/>
  <c r="C29" i="12" s="1"/>
  <c r="F23" i="12"/>
  <c r="C23" i="12" s="1"/>
  <c r="P35" i="12"/>
  <c r="O35" i="12" s="1"/>
  <c r="K42" i="12"/>
  <c r="J42" i="12" s="1"/>
  <c r="P50" i="12"/>
  <c r="O50" i="12" s="1"/>
  <c r="P42" i="12"/>
  <c r="O42" i="12" s="1"/>
  <c r="D52" i="12"/>
  <c r="H18" i="12"/>
  <c r="H14" i="12"/>
  <c r="P51" i="12"/>
  <c r="M51" i="12" s="1"/>
  <c r="P9" i="12"/>
  <c r="M9" i="12" s="1"/>
  <c r="K44" i="12"/>
  <c r="J44" i="12" s="1"/>
  <c r="F43" i="12"/>
  <c r="C43" i="12" s="1"/>
  <c r="F36" i="12"/>
  <c r="C36" i="12" s="1"/>
  <c r="F35" i="12"/>
  <c r="E35" i="12" s="1"/>
  <c r="D5" i="12"/>
  <c r="D44" i="12"/>
  <c r="O10" i="12"/>
  <c r="P5" i="12"/>
  <c r="M5" i="12" s="1"/>
  <c r="D9" i="12"/>
  <c r="B15" i="12"/>
  <c r="F15" i="12" s="1"/>
  <c r="E15" i="12" s="1"/>
  <c r="P20" i="12"/>
  <c r="M20" i="12" s="1"/>
  <c r="B33" i="12"/>
  <c r="B40" i="12"/>
  <c r="P44" i="12"/>
  <c r="O44" i="12" s="1"/>
  <c r="J22" i="12"/>
  <c r="F26" i="12"/>
  <c r="C26" i="12" s="1"/>
  <c r="F16" i="12"/>
  <c r="C16" i="12" s="1"/>
  <c r="J32" i="12"/>
  <c r="O23" i="12"/>
  <c r="F10" i="12"/>
  <c r="C10" i="12" s="1"/>
  <c r="B49" i="12"/>
  <c r="F49" i="12" s="1"/>
  <c r="E49" i="12" s="1"/>
  <c r="K49" i="12"/>
  <c r="J49" i="12" s="1"/>
  <c r="J7" i="12"/>
  <c r="G50" i="12"/>
  <c r="B51" i="12"/>
  <c r="F51" i="12" s="1"/>
  <c r="E51" i="12" s="1"/>
  <c r="P33" i="12"/>
  <c r="O33" i="12" s="1"/>
  <c r="H30" i="12"/>
  <c r="J30" i="12"/>
  <c r="K20" i="12"/>
  <c r="F19" i="12"/>
  <c r="E19" i="12" s="1"/>
  <c r="H19" i="12"/>
  <c r="J24" i="12"/>
  <c r="I47" i="12"/>
  <c r="G52" i="12"/>
  <c r="B53" i="12"/>
  <c r="F53" i="12" s="1"/>
  <c r="E53" i="12" s="1"/>
  <c r="K53" i="12"/>
  <c r="O38" i="12"/>
  <c r="L52" i="12"/>
  <c r="P52" i="12" s="1"/>
  <c r="O52" i="12" s="1"/>
  <c r="P53" i="12"/>
  <c r="M53" i="12" s="1"/>
  <c r="H36" i="12"/>
  <c r="M16" i="12"/>
  <c r="O16" i="12"/>
  <c r="K51" i="12"/>
  <c r="H51" i="12" s="1"/>
  <c r="K40" i="12"/>
  <c r="H40" i="12" s="1"/>
  <c r="J23" i="12"/>
  <c r="H23" i="12"/>
  <c r="K15" i="12"/>
  <c r="B42" i="12"/>
  <c r="D40" i="12"/>
  <c r="F30" i="12"/>
  <c r="C30" i="12" s="1"/>
  <c r="F11" i="12"/>
  <c r="H8" i="12"/>
  <c r="H27" i="12"/>
  <c r="O26" i="12"/>
  <c r="F24" i="12"/>
  <c r="E24" i="12" s="1"/>
  <c r="F12" i="12"/>
  <c r="E12" i="12" s="1"/>
  <c r="H34" i="12"/>
  <c r="J13" i="12"/>
  <c r="O29" i="12"/>
  <c r="O36" i="12"/>
  <c r="H25" i="12"/>
  <c r="J6" i="12"/>
  <c r="J39" i="12"/>
  <c r="O24" i="12"/>
  <c r="O43" i="12"/>
  <c r="M41" i="12"/>
  <c r="O41" i="12"/>
  <c r="M31" i="12"/>
  <c r="O31" i="12"/>
  <c r="F37" i="12"/>
  <c r="C37" i="12" s="1"/>
  <c r="F34" i="12"/>
  <c r="C34" i="12" s="1"/>
  <c r="J38" i="12"/>
  <c r="O6" i="12"/>
  <c r="O39" i="12"/>
  <c r="M34" i="12"/>
  <c r="M49" i="12"/>
  <c r="F38" i="12"/>
  <c r="E38" i="12" s="1"/>
  <c r="F27" i="12"/>
  <c r="E27" i="12" s="1"/>
  <c r="J10" i="12"/>
  <c r="J16" i="12"/>
  <c r="J29" i="12"/>
  <c r="J26" i="12"/>
  <c r="J43" i="12"/>
  <c r="M7" i="12"/>
  <c r="M30" i="12"/>
  <c r="F41" i="12"/>
  <c r="C41" i="12" s="1"/>
  <c r="F39" i="12"/>
  <c r="C39" i="12" s="1"/>
  <c r="F32" i="12"/>
  <c r="E32" i="12" s="1"/>
  <c r="F31" i="12"/>
  <c r="C31" i="12" s="1"/>
  <c r="F7" i="12"/>
  <c r="E7" i="12" s="1"/>
  <c r="F8" i="12"/>
  <c r="C8" i="12" s="1"/>
  <c r="M14" i="12"/>
  <c r="J45" i="12"/>
  <c r="H45" i="12"/>
  <c r="J41" i="12"/>
  <c r="H41" i="12"/>
  <c r="J37" i="12"/>
  <c r="H37" i="12"/>
  <c r="J28" i="12"/>
  <c r="H28" i="12"/>
  <c r="J31" i="12"/>
  <c r="H31" i="12"/>
  <c r="J21" i="12"/>
  <c r="H21" i="12"/>
  <c r="J17" i="12"/>
  <c r="H17" i="12"/>
  <c r="J12" i="12"/>
  <c r="H12" i="12"/>
  <c r="F14" i="12"/>
  <c r="E14" i="12" s="1"/>
  <c r="M45" i="12"/>
  <c r="O45" i="12"/>
  <c r="M37" i="12"/>
  <c r="O37" i="12"/>
  <c r="M21" i="12"/>
  <c r="O21" i="12"/>
  <c r="M12" i="12"/>
  <c r="O12" i="12"/>
  <c r="F45" i="12"/>
  <c r="E45" i="12" s="1"/>
  <c r="F28" i="12"/>
  <c r="C28" i="12" s="1"/>
  <c r="F25" i="12"/>
  <c r="C25" i="12" s="1"/>
  <c r="F21" i="12"/>
  <c r="E21" i="12" s="1"/>
  <c r="F18" i="12"/>
  <c r="C18" i="12" s="1"/>
  <c r="F22" i="12"/>
  <c r="E22" i="12" s="1"/>
  <c r="F17" i="12"/>
  <c r="C17" i="12" s="1"/>
  <c r="F13" i="12"/>
  <c r="E13" i="12" s="1"/>
  <c r="F6" i="12"/>
  <c r="E6" i="12" s="1"/>
  <c r="H34" i="17"/>
  <c r="I34" i="17"/>
  <c r="G30" i="17"/>
  <c r="H30" i="17"/>
  <c r="I30" i="17"/>
  <c r="G37" i="17"/>
  <c r="F4" i="17"/>
  <c r="AP36" i="16"/>
  <c r="D8" i="16"/>
  <c r="Q8" i="16"/>
  <c r="AI8" i="16"/>
  <c r="AQ32" i="16"/>
  <c r="AQ34" i="16"/>
  <c r="AV35" i="16"/>
  <c r="AA36" i="16"/>
  <c r="S19" i="16"/>
  <c r="AL19" i="16"/>
  <c r="AD21" i="16"/>
  <c r="AM22" i="16"/>
  <c r="B36" i="16"/>
  <c r="F36" i="16"/>
  <c r="H36" i="16"/>
  <c r="Z36" i="16"/>
  <c r="E8" i="16"/>
  <c r="AA8" i="16"/>
  <c r="AV11" i="16"/>
  <c r="AE8" i="16"/>
  <c r="AV17" i="16"/>
  <c r="T16" i="16"/>
  <c r="AV16" i="16"/>
  <c r="AD32" i="16"/>
  <c r="AM33" i="16"/>
  <c r="E36" i="16"/>
  <c r="Y36" i="16"/>
  <c r="AC36" i="16"/>
  <c r="AM41" i="16"/>
  <c r="AM40" i="16" s="1"/>
  <c r="T22" i="16"/>
  <c r="AX22" i="16" s="1"/>
  <c r="AM27" i="16"/>
  <c r="AV29" i="16"/>
  <c r="AH36" i="16"/>
  <c r="AR36" i="16"/>
  <c r="N8" i="16"/>
  <c r="T10" i="16"/>
  <c r="AM17" i="16"/>
  <c r="S26" i="16"/>
  <c r="M36" i="16"/>
  <c r="W36" i="16"/>
  <c r="AO36" i="16"/>
  <c r="AT36" i="16"/>
  <c r="AM37" i="16"/>
  <c r="M8" i="16"/>
  <c r="V8" i="16"/>
  <c r="T25" i="16"/>
  <c r="Z8" i="16"/>
  <c r="AB8" i="16"/>
  <c r="AL15" i="16"/>
  <c r="AH8" i="16"/>
  <c r="AM16" i="16"/>
  <c r="AM30" i="16"/>
  <c r="T29" i="16"/>
  <c r="Y8" i="16"/>
  <c r="AC8" i="16"/>
  <c r="T13" i="16"/>
  <c r="AV13" i="16"/>
  <c r="AD15" i="16"/>
  <c r="AU15" i="16"/>
  <c r="T18" i="16"/>
  <c r="AQ24" i="16"/>
  <c r="AT8" i="16"/>
  <c r="AV10" i="16"/>
  <c r="K8" i="16"/>
  <c r="O8" i="16"/>
  <c r="R8" i="16"/>
  <c r="AP15" i="16"/>
  <c r="AQ15" i="16" s="1"/>
  <c r="T17" i="16"/>
  <c r="AX17" i="16" s="1"/>
  <c r="AV18" i="16"/>
  <c r="S21" i="16"/>
  <c r="AU21" i="16"/>
  <c r="AM23" i="16"/>
  <c r="S32" i="16"/>
  <c r="T33" i="16"/>
  <c r="AX33" i="16" s="1"/>
  <c r="J34" i="16"/>
  <c r="S34" i="16"/>
  <c r="AL34" i="16"/>
  <c r="T35" i="16"/>
  <c r="AX35" i="16" s="1"/>
  <c r="AD37" i="16"/>
  <c r="AD36" i="16" s="1"/>
  <c r="X36" i="16"/>
  <c r="AB36" i="16"/>
  <c r="AM43" i="16"/>
  <c r="L8" i="16"/>
  <c r="U8" i="16"/>
  <c r="F8" i="16"/>
  <c r="H8" i="16"/>
  <c r="AJ8" i="16"/>
  <c r="P8" i="16"/>
  <c r="AQ21" i="16"/>
  <c r="AV23" i="16"/>
  <c r="J24" i="16"/>
  <c r="AL24" i="16"/>
  <c r="AM25" i="16"/>
  <c r="J32" i="16"/>
  <c r="AL32" i="16"/>
  <c r="K36" i="16"/>
  <c r="O36" i="16"/>
  <c r="R36" i="16"/>
  <c r="AF36" i="16"/>
  <c r="AJ36" i="16"/>
  <c r="AL12" i="16"/>
  <c r="AF8" i="16"/>
  <c r="J15" i="16"/>
  <c r="AD12" i="16"/>
  <c r="X8" i="16"/>
  <c r="AU12" i="16"/>
  <c r="AR8" i="16"/>
  <c r="S15" i="16"/>
  <c r="AM11" i="16"/>
  <c r="AM10" i="16"/>
  <c r="AQ12" i="16"/>
  <c r="AX39" i="16"/>
  <c r="AO8" i="16"/>
  <c r="AN19" i="16"/>
  <c r="AQ19" i="16" s="1"/>
  <c r="AV19" i="16" s="1"/>
  <c r="AQ20" i="16"/>
  <c r="AV20" i="16" s="1"/>
  <c r="AG8" i="16"/>
  <c r="AK8" i="16"/>
  <c r="AS8" i="16"/>
  <c r="J11" i="16"/>
  <c r="T11" i="16" s="1"/>
  <c r="S12" i="16"/>
  <c r="AM13" i="16"/>
  <c r="AV30" i="16"/>
  <c r="AU26" i="16"/>
  <c r="T37" i="16"/>
  <c r="AV25" i="16"/>
  <c r="T28" i="16"/>
  <c r="AQ40" i="16"/>
  <c r="AV40" i="16" s="1"/>
  <c r="AV41" i="16"/>
  <c r="W19" i="16"/>
  <c r="S24" i="16"/>
  <c r="AV27" i="16"/>
  <c r="J37" i="16"/>
  <c r="AU37" i="16"/>
  <c r="AU36" i="16" s="1"/>
  <c r="AN36" i="16"/>
  <c r="T41" i="16"/>
  <c r="J40" i="16"/>
  <c r="AV43" i="16"/>
  <c r="J20" i="16"/>
  <c r="T20" i="16" s="1"/>
  <c r="AX20" i="16" s="1"/>
  <c r="J21" i="16"/>
  <c r="AL21" i="16"/>
  <c r="AD26" i="16"/>
  <c r="AL26" i="16"/>
  <c r="T43" i="16"/>
  <c r="J42" i="16"/>
  <c r="AU32" i="16"/>
  <c r="C36" i="16"/>
  <c r="G36" i="16"/>
  <c r="I36" i="16"/>
  <c r="L36" i="16"/>
  <c r="S36" i="16"/>
  <c r="AG36" i="16"/>
  <c r="AK36" i="16"/>
  <c r="U36" i="16"/>
  <c r="S4" i="12"/>
  <c r="AM4" i="12"/>
  <c r="AC4" i="12"/>
  <c r="I4" i="12"/>
  <c r="N46" i="12"/>
  <c r="L47" i="12"/>
  <c r="P47" i="12" s="1"/>
  <c r="M47" i="12" s="1"/>
  <c r="N4" i="12"/>
  <c r="X4" i="12"/>
  <c r="AK4" i="12"/>
  <c r="L4" i="12"/>
  <c r="V4" i="12"/>
  <c r="AH4" i="12"/>
  <c r="AJ4" i="12" s="1"/>
  <c r="G4" i="12"/>
  <c r="AA4" i="12"/>
  <c r="AM20" i="16" l="1"/>
  <c r="AM7" i="16" s="1"/>
  <c r="J19" i="16"/>
  <c r="T19" i="16" s="1"/>
  <c r="BG40" i="16"/>
  <c r="I8" i="16"/>
  <c r="I5" i="16" s="1"/>
  <c r="AV6" i="16"/>
  <c r="AM6" i="16"/>
  <c r="AQ7" i="16"/>
  <c r="AV7" i="16"/>
  <c r="T7" i="16"/>
  <c r="AY23" i="16"/>
  <c r="T6" i="16"/>
  <c r="BG38" i="16"/>
  <c r="J7" i="16"/>
  <c r="AM42" i="16"/>
  <c r="AM36" i="16" s="1"/>
  <c r="BG42" i="16"/>
  <c r="H15" i="12"/>
  <c r="Q15" i="12"/>
  <c r="H5" i="12"/>
  <c r="J5" i="12"/>
  <c r="H9" i="12"/>
  <c r="H20" i="12"/>
  <c r="Q20" i="12"/>
  <c r="H35" i="12"/>
  <c r="AO4" i="12"/>
  <c r="AN4" i="12" s="1"/>
  <c r="AL15" i="12"/>
  <c r="AB42" i="12"/>
  <c r="AB20" i="12"/>
  <c r="AE4" i="12"/>
  <c r="AD4" i="12" s="1"/>
  <c r="AB15" i="12"/>
  <c r="AB5" i="12"/>
  <c r="AB44" i="12"/>
  <c r="AB33" i="12"/>
  <c r="W9" i="12"/>
  <c r="W20" i="12"/>
  <c r="W15" i="12"/>
  <c r="H33" i="12"/>
  <c r="O15" i="12"/>
  <c r="F9" i="12"/>
  <c r="C9" i="12" s="1"/>
  <c r="Z4" i="12"/>
  <c r="Y4" i="12" s="1"/>
  <c r="B4" i="18"/>
  <c r="F4" i="18" s="1"/>
  <c r="H35" i="18"/>
  <c r="B5" i="17"/>
  <c r="I37" i="17"/>
  <c r="AV34" i="16"/>
  <c r="BB34" i="16" s="1"/>
  <c r="BA22" i="16"/>
  <c r="AS5" i="16"/>
  <c r="AI5" i="16"/>
  <c r="Y5" i="16"/>
  <c r="P5" i="16"/>
  <c r="AE5" i="16"/>
  <c r="AX27" i="16"/>
  <c r="AY27" i="16"/>
  <c r="Q5" i="16"/>
  <c r="AZ23" i="16"/>
  <c r="T21" i="16"/>
  <c r="AZ21" i="16" s="1"/>
  <c r="AX23" i="16"/>
  <c r="AV24" i="16"/>
  <c r="BA24" i="16" s="1"/>
  <c r="AV9" i="16"/>
  <c r="BA9" i="16" s="1"/>
  <c r="Z5" i="16"/>
  <c r="AX30" i="16"/>
  <c r="AM24" i="16"/>
  <c r="BA28" i="16"/>
  <c r="AY30" i="16"/>
  <c r="AV32" i="16"/>
  <c r="BA32" i="16" s="1"/>
  <c r="AM9" i="16"/>
  <c r="V5" i="16"/>
  <c r="T9" i="16"/>
  <c r="J9" i="16"/>
  <c r="L5" i="16"/>
  <c r="AM34" i="16"/>
  <c r="J12" i="16"/>
  <c r="AA5" i="16"/>
  <c r="D5" i="16"/>
  <c r="BA10" i="16"/>
  <c r="BB10" i="16"/>
  <c r="AZ13" i="16"/>
  <c r="AY13" i="16"/>
  <c r="AZ25" i="16"/>
  <c r="AY25" i="16"/>
  <c r="AY43" i="16"/>
  <c r="AZ43" i="16"/>
  <c r="H5" i="16"/>
  <c r="AX10" i="16"/>
  <c r="AZ10" i="16"/>
  <c r="AY10" i="16"/>
  <c r="AM21" i="16"/>
  <c r="AY41" i="16"/>
  <c r="AZ41" i="16"/>
  <c r="BA27" i="16"/>
  <c r="BB27" i="16"/>
  <c r="BB41" i="16"/>
  <c r="BA41" i="16"/>
  <c r="AY28" i="16"/>
  <c r="AZ28" i="16"/>
  <c r="BB19" i="16"/>
  <c r="BA19" i="16"/>
  <c r="BA13" i="16"/>
  <c r="BB13" i="16"/>
  <c r="AZ22" i="16"/>
  <c r="AY22" i="16"/>
  <c r="BA35" i="16"/>
  <c r="BB35" i="16"/>
  <c r="BB43" i="16"/>
  <c r="BA43" i="16"/>
  <c r="BA40" i="16"/>
  <c r="BB40" i="16"/>
  <c r="BB25" i="16"/>
  <c r="BA25" i="16"/>
  <c r="BA30" i="16"/>
  <c r="BB30" i="16"/>
  <c r="BB39" i="16"/>
  <c r="BA39" i="16"/>
  <c r="BA33" i="16"/>
  <c r="BB33" i="16"/>
  <c r="AZ37" i="16"/>
  <c r="AY37" i="16"/>
  <c r="BB23" i="16"/>
  <c r="BA23" i="16"/>
  <c r="T34" i="16"/>
  <c r="AX29" i="16"/>
  <c r="AY29" i="16"/>
  <c r="AZ29" i="16"/>
  <c r="BB29" i="16"/>
  <c r="BA29" i="16"/>
  <c r="AZ20" i="16"/>
  <c r="AY20" i="16"/>
  <c r="BA20" i="16"/>
  <c r="BB20" i="16"/>
  <c r="X5" i="16"/>
  <c r="F5" i="16"/>
  <c r="AZ35" i="16"/>
  <c r="AY35" i="16"/>
  <c r="T32" i="16"/>
  <c r="AX32" i="16" s="1"/>
  <c r="AZ33" i="16"/>
  <c r="AY33" i="16"/>
  <c r="N5" i="16"/>
  <c r="M40" i="12"/>
  <c r="E29" i="12"/>
  <c r="F5" i="12"/>
  <c r="C5" i="12" s="1"/>
  <c r="M50" i="12"/>
  <c r="C15" i="12"/>
  <c r="J35" i="12"/>
  <c r="F33" i="12"/>
  <c r="C33" i="12" s="1"/>
  <c r="O9" i="12"/>
  <c r="M44" i="12"/>
  <c r="F44" i="12"/>
  <c r="E44" i="12" s="1"/>
  <c r="E36" i="12"/>
  <c r="J9" i="12"/>
  <c r="C12" i="12"/>
  <c r="E43" i="12"/>
  <c r="F42" i="12"/>
  <c r="E42" i="12" s="1"/>
  <c r="H42" i="12"/>
  <c r="M35" i="12"/>
  <c r="M42" i="12"/>
  <c r="E23" i="12"/>
  <c r="C19" i="12"/>
  <c r="M33" i="12"/>
  <c r="O5" i="12"/>
  <c r="M52" i="12"/>
  <c r="C49" i="12"/>
  <c r="C13" i="12"/>
  <c r="O20" i="12"/>
  <c r="H44" i="12"/>
  <c r="J20" i="12"/>
  <c r="E30" i="12"/>
  <c r="O51" i="12"/>
  <c r="G46" i="12"/>
  <c r="G3" i="12" s="1"/>
  <c r="E37" i="12"/>
  <c r="E31" i="12"/>
  <c r="H49" i="12"/>
  <c r="C21" i="12"/>
  <c r="C22" i="12"/>
  <c r="C32" i="12"/>
  <c r="C45" i="12"/>
  <c r="E26" i="12"/>
  <c r="E10" i="12"/>
  <c r="E16" i="12"/>
  <c r="D47" i="12"/>
  <c r="N3" i="12"/>
  <c r="D4" i="12"/>
  <c r="I46" i="12"/>
  <c r="E41" i="12"/>
  <c r="C51" i="12"/>
  <c r="E25" i="12"/>
  <c r="H53" i="12"/>
  <c r="J53" i="12"/>
  <c r="K50" i="12"/>
  <c r="J50" i="12" s="1"/>
  <c r="B50" i="12"/>
  <c r="P4" i="12"/>
  <c r="M4" i="12" s="1"/>
  <c r="B47" i="12"/>
  <c r="K47" i="12"/>
  <c r="H47" i="12" s="1"/>
  <c r="C6" i="12"/>
  <c r="C7" i="12"/>
  <c r="J15" i="12"/>
  <c r="C35" i="12"/>
  <c r="J40" i="12"/>
  <c r="L46" i="12"/>
  <c r="L3" i="12" s="1"/>
  <c r="B4" i="12"/>
  <c r="K4" i="12"/>
  <c r="Q4" i="12" s="1"/>
  <c r="C24" i="12"/>
  <c r="O53" i="12"/>
  <c r="J51" i="12"/>
  <c r="C20" i="12"/>
  <c r="K52" i="12"/>
  <c r="B52" i="12"/>
  <c r="F40" i="12"/>
  <c r="C40" i="12" s="1"/>
  <c r="O47" i="12"/>
  <c r="E28" i="12"/>
  <c r="E17" i="12"/>
  <c r="E8" i="12"/>
  <c r="E34" i="12"/>
  <c r="C14" i="12"/>
  <c r="C53" i="12"/>
  <c r="E18" i="12"/>
  <c r="C38" i="12"/>
  <c r="E39" i="12"/>
  <c r="C27" i="12"/>
  <c r="AR5" i="16"/>
  <c r="AO5" i="16"/>
  <c r="AX13" i="16"/>
  <c r="E5" i="16"/>
  <c r="AM32" i="16"/>
  <c r="AX16" i="16"/>
  <c r="AC5" i="16"/>
  <c r="G5" i="16"/>
  <c r="U5" i="16"/>
  <c r="AF5" i="16"/>
  <c r="AV15" i="16"/>
  <c r="AB5" i="16"/>
  <c r="T24" i="16"/>
  <c r="AY24" i="16" s="1"/>
  <c r="AT5" i="16"/>
  <c r="AH5" i="16"/>
  <c r="T15" i="16"/>
  <c r="AX15" i="16" s="1"/>
  <c r="O5" i="16"/>
  <c r="AM15" i="16"/>
  <c r="M5" i="16"/>
  <c r="AX25" i="16"/>
  <c r="AV21" i="16"/>
  <c r="K5" i="16"/>
  <c r="J36" i="16"/>
  <c r="AJ5" i="16"/>
  <c r="AQ36" i="16"/>
  <c r="AX18" i="16"/>
  <c r="R5" i="16"/>
  <c r="AP8" i="16"/>
  <c r="AP5" i="16" s="1"/>
  <c r="AX41" i="16"/>
  <c r="T40" i="16"/>
  <c r="BG39" i="16" s="1"/>
  <c r="AX37" i="16"/>
  <c r="T12" i="16"/>
  <c r="AX12" i="16" s="1"/>
  <c r="AU8" i="16"/>
  <c r="AU5" i="16" s="1"/>
  <c r="AV42" i="16"/>
  <c r="AV36" i="16" s="1"/>
  <c r="AK5" i="16"/>
  <c r="AV12" i="16"/>
  <c r="AM12" i="16"/>
  <c r="AX43" i="16"/>
  <c r="T42" i="16"/>
  <c r="AX28" i="16"/>
  <c r="AG5" i="16"/>
  <c r="C5" i="16"/>
  <c r="B26" i="16"/>
  <c r="B8" i="16" s="1"/>
  <c r="AM26" i="16"/>
  <c r="AD19" i="16"/>
  <c r="AM19" i="16" s="1"/>
  <c r="W8" i="16"/>
  <c r="W5" i="16" s="1"/>
  <c r="S8" i="16"/>
  <c r="S5" i="16" s="1"/>
  <c r="AL8" i="16"/>
  <c r="AL5" i="16" s="1"/>
  <c r="AY6" i="16" l="1"/>
  <c r="AZ6" i="16"/>
  <c r="AX6" i="16"/>
  <c r="AX9" i="16"/>
  <c r="AY9" i="16"/>
  <c r="AY7" i="16"/>
  <c r="AZ7" i="16"/>
  <c r="AX7" i="16"/>
  <c r="BB7" i="16"/>
  <c r="BA7" i="16"/>
  <c r="BB6" i="16"/>
  <c r="BA6" i="16"/>
  <c r="BG41" i="16"/>
  <c r="E9" i="12"/>
  <c r="AL4" i="12"/>
  <c r="AB4" i="12"/>
  <c r="W4" i="12"/>
  <c r="C42" i="12"/>
  <c r="E33" i="12"/>
  <c r="G5" i="17"/>
  <c r="H5" i="17"/>
  <c r="I5" i="17"/>
  <c r="G29" i="17"/>
  <c r="BA34" i="16"/>
  <c r="AY19" i="16"/>
  <c r="AX19" i="16"/>
  <c r="AZ19" i="16"/>
  <c r="BB9" i="16"/>
  <c r="BB24" i="16"/>
  <c r="AY21" i="16"/>
  <c r="AX21" i="16"/>
  <c r="BB32" i="16"/>
  <c r="AZ9" i="16"/>
  <c r="BA37" i="16"/>
  <c r="BB37" i="16"/>
  <c r="AZ42" i="16"/>
  <c r="AY42" i="16"/>
  <c r="BB21" i="16"/>
  <c r="BA21" i="16"/>
  <c r="AX24" i="16"/>
  <c r="AZ24" i="16"/>
  <c r="AZ40" i="16"/>
  <c r="AY40" i="16"/>
  <c r="BA42" i="16"/>
  <c r="BB42" i="16"/>
  <c r="BB12" i="16"/>
  <c r="BA12" i="16"/>
  <c r="AY12" i="16"/>
  <c r="AZ12" i="16"/>
  <c r="AY32" i="16"/>
  <c r="AZ32" i="16"/>
  <c r="AY34" i="16"/>
  <c r="AZ34" i="16"/>
  <c r="E5" i="12"/>
  <c r="C44" i="12"/>
  <c r="B46" i="12"/>
  <c r="O4" i="12"/>
  <c r="J47" i="12"/>
  <c r="J52" i="12"/>
  <c r="H52" i="12"/>
  <c r="J4" i="12"/>
  <c r="H4" i="12"/>
  <c r="F50" i="12"/>
  <c r="E50" i="12" s="1"/>
  <c r="M3" i="12"/>
  <c r="F4" i="12"/>
  <c r="E4" i="12" s="1"/>
  <c r="D46" i="12"/>
  <c r="E40" i="12"/>
  <c r="P46" i="12"/>
  <c r="O46" i="12" s="1"/>
  <c r="F47" i="12"/>
  <c r="C47" i="12" s="1"/>
  <c r="H50" i="12"/>
  <c r="K46" i="12"/>
  <c r="H46" i="12" s="1"/>
  <c r="F52" i="12"/>
  <c r="E52" i="12" s="1"/>
  <c r="I3" i="12"/>
  <c r="AN26" i="16"/>
  <c r="AN8" i="16" s="1"/>
  <c r="AN5" i="16" s="1"/>
  <c r="AX42" i="16"/>
  <c r="AX40" i="16"/>
  <c r="J26" i="16"/>
  <c r="B5" i="16"/>
  <c r="AM8" i="16"/>
  <c r="AM5" i="16" s="1"/>
  <c r="AD8" i="16"/>
  <c r="AD5" i="16" s="1"/>
  <c r="T36" i="16"/>
  <c r="B3" i="12"/>
  <c r="G4" i="17" l="1"/>
  <c r="I4" i="17"/>
  <c r="AY36" i="16"/>
  <c r="AZ36" i="16"/>
  <c r="BB36" i="16"/>
  <c r="BG36" i="16" s="1"/>
  <c r="BA36" i="16"/>
  <c r="F46" i="12"/>
  <c r="E46" i="12" s="1"/>
  <c r="E47" i="12"/>
  <c r="M46" i="12"/>
  <c r="D3" i="12"/>
  <c r="K3" i="12"/>
  <c r="H3" i="12" s="1"/>
  <c r="O3" i="12"/>
  <c r="C4" i="12"/>
  <c r="C50" i="12"/>
  <c r="C52" i="12"/>
  <c r="J46" i="12"/>
  <c r="AX36" i="16"/>
  <c r="T26" i="16"/>
  <c r="J8" i="16"/>
  <c r="J5" i="16" s="1"/>
  <c r="AQ26" i="16"/>
  <c r="AY26" i="16" l="1"/>
  <c r="AZ26" i="16"/>
  <c r="C46" i="12"/>
  <c r="J3" i="12"/>
  <c r="F3" i="12"/>
  <c r="C3" i="12" s="1"/>
  <c r="AV26" i="16"/>
  <c r="AQ8" i="16"/>
  <c r="AQ5" i="16" s="1"/>
  <c r="AX26" i="16"/>
  <c r="T8" i="16"/>
  <c r="AY8" i="16" s="1"/>
  <c r="BB26" i="16" l="1"/>
  <c r="BA26" i="16"/>
  <c r="AZ8" i="16"/>
  <c r="E3" i="12"/>
  <c r="T5" i="16"/>
  <c r="AX8" i="16"/>
  <c r="AV8" i="16"/>
  <c r="BA8" i="16" l="1"/>
  <c r="AV5" i="16"/>
  <c r="BA5" i="16" s="1"/>
  <c r="AY5" i="16"/>
  <c r="AX5" i="16"/>
  <c r="BB8" i="16"/>
  <c r="BG8" i="16" s="1"/>
  <c r="AZ5" i="16"/>
  <c r="BB5" i="16" l="1"/>
  <c r="BG5" i="16" s="1"/>
  <c r="D5" i="10"/>
  <c r="D7" i="10"/>
  <c r="D6" i="10"/>
  <c r="D13" i="10"/>
  <c r="D9" i="10"/>
  <c r="D11" i="10"/>
  <c r="D12" i="10"/>
  <c r="D15" i="10"/>
  <c r="D16" i="10"/>
  <c r="D17" i="10"/>
  <c r="D18" i="10"/>
  <c r="D20" i="10"/>
  <c r="D21" i="10"/>
  <c r="D22" i="10"/>
  <c r="D29" i="10"/>
  <c r="D30" i="10"/>
  <c r="D24" i="10"/>
  <c r="D28" i="10"/>
  <c r="D26" i="10"/>
  <c r="D27" i="10"/>
  <c r="D31" i="10"/>
  <c r="D23" i="10"/>
  <c r="D25" i="10"/>
  <c r="D33" i="10"/>
  <c r="D37" i="10"/>
  <c r="D36" i="10"/>
  <c r="D38" i="10"/>
  <c r="D35" i="10"/>
  <c r="D40" i="10"/>
  <c r="D42" i="10"/>
  <c r="D44" i="10"/>
  <c r="D48" i="10"/>
  <c r="D50" i="10"/>
  <c r="D52" i="10"/>
  <c r="F5" i="10"/>
  <c r="F7" i="10"/>
  <c r="F6" i="10"/>
  <c r="F13" i="10"/>
  <c r="F9" i="10"/>
  <c r="F11" i="10"/>
  <c r="F12" i="10"/>
  <c r="F15" i="10"/>
  <c r="F16" i="10"/>
  <c r="F17" i="10"/>
  <c r="F18" i="10"/>
  <c r="F20" i="10"/>
  <c r="F21" i="10"/>
  <c r="F22" i="10"/>
  <c r="F29" i="10"/>
  <c r="F30" i="10"/>
  <c r="F24" i="10"/>
  <c r="F28" i="10"/>
  <c r="F26" i="10"/>
  <c r="F27" i="10"/>
  <c r="F31" i="10"/>
  <c r="F23" i="10"/>
  <c r="F25" i="10"/>
  <c r="F33" i="10"/>
  <c r="F37" i="10"/>
  <c r="F36" i="10"/>
  <c r="F38" i="10"/>
  <c r="F35" i="10"/>
  <c r="F40" i="10"/>
  <c r="F42" i="10"/>
  <c r="F44" i="10"/>
  <c r="F48" i="10"/>
  <c r="F50" i="10"/>
  <c r="H5" i="10"/>
  <c r="H7" i="10"/>
  <c r="H6" i="10"/>
  <c r="H13" i="10"/>
  <c r="H9" i="10"/>
  <c r="H11" i="10"/>
  <c r="H12" i="10"/>
  <c r="H15" i="10"/>
  <c r="H16" i="10"/>
  <c r="H17" i="10"/>
  <c r="H18" i="10"/>
  <c r="H20" i="10"/>
  <c r="H21" i="10"/>
  <c r="H22" i="10"/>
  <c r="H29" i="10"/>
  <c r="H30" i="10"/>
  <c r="H24" i="10"/>
  <c r="H28" i="10"/>
  <c r="H26" i="10"/>
  <c r="H27" i="10"/>
  <c r="H31" i="10"/>
  <c r="H23" i="10"/>
  <c r="H25" i="10"/>
  <c r="H33" i="10"/>
  <c r="H37" i="10"/>
  <c r="H36" i="10"/>
  <c r="H38" i="10"/>
  <c r="H35" i="10"/>
  <c r="H40" i="10"/>
  <c r="H42" i="10"/>
  <c r="H44" i="10"/>
  <c r="H48" i="10"/>
  <c r="H50" i="10"/>
  <c r="H52" i="10"/>
  <c r="G52" i="10"/>
  <c r="G51" i="10" s="1"/>
  <c r="E51" i="10"/>
  <c r="C51" i="10"/>
  <c r="D51" i="10" s="1"/>
  <c r="B51" i="10"/>
  <c r="G50" i="10"/>
  <c r="G49" i="10" s="1"/>
  <c r="E49" i="10"/>
  <c r="F49" i="10" s="1"/>
  <c r="C49" i="10"/>
  <c r="D49" i="10" s="1"/>
  <c r="B49" i="10"/>
  <c r="G48" i="10"/>
  <c r="G44" i="10"/>
  <c r="E43" i="10"/>
  <c r="F43" i="10" s="1"/>
  <c r="C43" i="10"/>
  <c r="B43" i="10"/>
  <c r="G42" i="10"/>
  <c r="E41" i="10"/>
  <c r="F41" i="10" s="1"/>
  <c r="C41" i="10"/>
  <c r="B41" i="10"/>
  <c r="G40" i="10"/>
  <c r="E39" i="10"/>
  <c r="F39" i="10" s="1"/>
  <c r="C39" i="10"/>
  <c r="B39" i="10"/>
  <c r="G35" i="10"/>
  <c r="G38" i="10"/>
  <c r="G36" i="10"/>
  <c r="G37" i="10"/>
  <c r="F34" i="10"/>
  <c r="D34" i="10"/>
  <c r="G33" i="10"/>
  <c r="E32" i="10"/>
  <c r="C32" i="10"/>
  <c r="D32" i="10" s="1"/>
  <c r="B32" i="10"/>
  <c r="G25" i="10"/>
  <c r="G23" i="10"/>
  <c r="G31" i="10"/>
  <c r="G27" i="10"/>
  <c r="G26" i="10"/>
  <c r="G28" i="10"/>
  <c r="G24" i="10"/>
  <c r="G30" i="10"/>
  <c r="G29" i="10"/>
  <c r="G22" i="10"/>
  <c r="G21" i="10"/>
  <c r="G20" i="10"/>
  <c r="E19" i="10"/>
  <c r="F19" i="10" s="1"/>
  <c r="C19" i="10"/>
  <c r="G18" i="10"/>
  <c r="G17" i="10"/>
  <c r="G16" i="10"/>
  <c r="G15" i="10"/>
  <c r="F14" i="10"/>
  <c r="D14" i="10"/>
  <c r="G12" i="10"/>
  <c r="G11" i="10"/>
  <c r="G10" i="10"/>
  <c r="G9" i="10"/>
  <c r="G13" i="10"/>
  <c r="D8" i="10"/>
  <c r="G6" i="10"/>
  <c r="G7" i="10"/>
  <c r="G5" i="10"/>
  <c r="E4" i="10"/>
  <c r="C4" i="10"/>
  <c r="D4" i="10" s="1"/>
  <c r="H8" i="10" l="1"/>
  <c r="H39" i="10"/>
  <c r="G41" i="10"/>
  <c r="H43" i="10"/>
  <c r="H51" i="10"/>
  <c r="H4" i="10"/>
  <c r="G19" i="10"/>
  <c r="H32" i="10"/>
  <c r="H49" i="10"/>
  <c r="H34" i="10"/>
  <c r="H14" i="10"/>
  <c r="F51" i="10"/>
  <c r="F32" i="10"/>
  <c r="F8" i="10"/>
  <c r="F4" i="10"/>
  <c r="D43" i="10"/>
  <c r="D39" i="10"/>
  <c r="D19" i="10"/>
  <c r="H41" i="10"/>
  <c r="D41" i="10"/>
  <c r="H19" i="10"/>
  <c r="G39" i="10"/>
  <c r="E3" i="10"/>
  <c r="F3" i="10" s="1"/>
  <c r="G4" i="10"/>
  <c r="G32" i="10"/>
  <c r="G43" i="10"/>
  <c r="C3" i="10"/>
  <c r="H3" i="10" l="1"/>
  <c r="D3" i="10"/>
  <c r="G3" i="10"/>
  <c r="AB17" i="5" l="1"/>
  <c r="AB18" i="5"/>
  <c r="AB19" i="5"/>
  <c r="AB53" i="5"/>
  <c r="U53" i="5" s="1"/>
  <c r="AB51" i="5"/>
  <c r="W51" i="5" s="1"/>
  <c r="AB49" i="5"/>
  <c r="U49" i="5" s="1"/>
  <c r="AB45" i="5"/>
  <c r="AA45" i="5" s="1"/>
  <c r="AB43" i="5"/>
  <c r="W43" i="5" s="1"/>
  <c r="AB41" i="5"/>
  <c r="AA41" i="5" s="1"/>
  <c r="AB36" i="5"/>
  <c r="W36" i="5" s="1"/>
  <c r="AB39" i="5"/>
  <c r="U39" i="5" s="1"/>
  <c r="AB37" i="5"/>
  <c r="AA37" i="5" s="1"/>
  <c r="AB38" i="5"/>
  <c r="W38" i="5" s="1"/>
  <c r="AB34" i="5"/>
  <c r="U34" i="5" s="1"/>
  <c r="AB26" i="5"/>
  <c r="AB24" i="5"/>
  <c r="AA24" i="5" s="1"/>
  <c r="AB32" i="5"/>
  <c r="AB28" i="5"/>
  <c r="AB27" i="5"/>
  <c r="AB29" i="5"/>
  <c r="AB25" i="5"/>
  <c r="AB31" i="5"/>
  <c r="AB30" i="5"/>
  <c r="AB23" i="5"/>
  <c r="W23" i="5" s="1"/>
  <c r="AB22" i="5"/>
  <c r="AB21" i="5"/>
  <c r="AB16" i="5"/>
  <c r="W16" i="5" s="1"/>
  <c r="AB13" i="5"/>
  <c r="W13" i="5" s="1"/>
  <c r="AB12" i="5"/>
  <c r="U12" i="5" s="1"/>
  <c r="AB10" i="5"/>
  <c r="AA10" i="5" s="1"/>
  <c r="AB14" i="5"/>
  <c r="W14" i="5" s="1"/>
  <c r="AB7" i="5"/>
  <c r="U7" i="5" s="1"/>
  <c r="AB6" i="5"/>
  <c r="AA6" i="5" s="1"/>
  <c r="S49" i="5"/>
  <c r="R49" i="5" s="1"/>
  <c r="S51" i="5"/>
  <c r="R51" i="5" s="1"/>
  <c r="S53" i="5"/>
  <c r="R53" i="5" s="1"/>
  <c r="S45" i="5"/>
  <c r="L45" i="5" s="1"/>
  <c r="S43" i="5"/>
  <c r="R43" i="5" s="1"/>
  <c r="S41" i="5"/>
  <c r="P41" i="5" s="1"/>
  <c r="S36" i="5"/>
  <c r="R36" i="5" s="1"/>
  <c r="S39" i="5"/>
  <c r="R39" i="5" s="1"/>
  <c r="S37" i="5"/>
  <c r="L37" i="5" s="1"/>
  <c r="S38" i="5"/>
  <c r="N38" i="5" s="1"/>
  <c r="S34" i="5"/>
  <c r="R34" i="5" s="1"/>
  <c r="S26" i="5"/>
  <c r="R26" i="5" s="1"/>
  <c r="S24" i="5"/>
  <c r="R24" i="5" s="1"/>
  <c r="S32" i="5"/>
  <c r="S28" i="5"/>
  <c r="S27" i="5"/>
  <c r="S29" i="5"/>
  <c r="R29" i="5" s="1"/>
  <c r="S25" i="5"/>
  <c r="S31" i="5"/>
  <c r="L31" i="5" s="1"/>
  <c r="S30" i="5"/>
  <c r="N30" i="5" s="1"/>
  <c r="S23" i="5"/>
  <c r="R23" i="5" s="1"/>
  <c r="S22" i="5"/>
  <c r="S21" i="5"/>
  <c r="P21" i="5" s="1"/>
  <c r="S19" i="5"/>
  <c r="S18" i="5"/>
  <c r="S17" i="5"/>
  <c r="S16" i="5"/>
  <c r="L16" i="5" s="1"/>
  <c r="S13" i="5"/>
  <c r="S12" i="5"/>
  <c r="R12" i="5" s="1"/>
  <c r="S10" i="5"/>
  <c r="N10" i="5" s="1"/>
  <c r="S14" i="5"/>
  <c r="P14" i="5" s="1"/>
  <c r="S7" i="5"/>
  <c r="R7" i="5" s="1"/>
  <c r="S6" i="5"/>
  <c r="L6" i="5" s="1"/>
  <c r="J6" i="5"/>
  <c r="I6" i="5" s="1"/>
  <c r="J8" i="5"/>
  <c r="G8" i="5" s="1"/>
  <c r="J7" i="5"/>
  <c r="E7" i="5" s="1"/>
  <c r="J14" i="5"/>
  <c r="I14" i="5" s="1"/>
  <c r="J10" i="5"/>
  <c r="I10" i="5" s="1"/>
  <c r="J12" i="5"/>
  <c r="I12" i="5" s="1"/>
  <c r="J13" i="5"/>
  <c r="E13" i="5" s="1"/>
  <c r="J16" i="5"/>
  <c r="I16" i="5" s="1"/>
  <c r="J17" i="5"/>
  <c r="G17" i="5" s="1"/>
  <c r="J18" i="5"/>
  <c r="J19" i="5"/>
  <c r="I19" i="5" s="1"/>
  <c r="J21" i="5"/>
  <c r="I21" i="5" s="1"/>
  <c r="J22" i="5"/>
  <c r="J23" i="5"/>
  <c r="I23" i="5" s="1"/>
  <c r="J30" i="5"/>
  <c r="I30" i="5" s="1"/>
  <c r="J31" i="5"/>
  <c r="G31" i="5" s="1"/>
  <c r="J25" i="5"/>
  <c r="C25" i="5" s="1"/>
  <c r="J29" i="5"/>
  <c r="I29" i="5" s="1"/>
  <c r="J27" i="5"/>
  <c r="I27" i="5" s="1"/>
  <c r="J28" i="5"/>
  <c r="I28" i="5" s="1"/>
  <c r="J32" i="5"/>
  <c r="C32" i="5" s="1"/>
  <c r="J24" i="5"/>
  <c r="I24" i="5" s="1"/>
  <c r="J26" i="5"/>
  <c r="I26" i="5" s="1"/>
  <c r="J34" i="5"/>
  <c r="J38" i="5"/>
  <c r="I38" i="5" s="1"/>
  <c r="J37" i="5"/>
  <c r="I37" i="5" s="1"/>
  <c r="J39" i="5"/>
  <c r="J36" i="5"/>
  <c r="I36" i="5" s="1"/>
  <c r="J41" i="5"/>
  <c r="G41" i="5" s="1"/>
  <c r="J43" i="5"/>
  <c r="I43" i="5" s="1"/>
  <c r="J45" i="5"/>
  <c r="I45" i="5" s="1"/>
  <c r="F53" i="5"/>
  <c r="F52" i="5" s="1"/>
  <c r="Q52" i="5"/>
  <c r="O52" i="5"/>
  <c r="Z52" i="5"/>
  <c r="X52" i="5"/>
  <c r="V52" i="5"/>
  <c r="T52" i="5"/>
  <c r="H52" i="5"/>
  <c r="B52" i="5"/>
  <c r="F51" i="5"/>
  <c r="F50" i="5" s="1"/>
  <c r="Q50" i="5"/>
  <c r="O50" i="5"/>
  <c r="Z50" i="5"/>
  <c r="X50" i="5"/>
  <c r="V50" i="5"/>
  <c r="T50" i="5"/>
  <c r="H50" i="5"/>
  <c r="B50" i="5"/>
  <c r="F49" i="5"/>
  <c r="J49" i="5" s="1"/>
  <c r="I49" i="5" s="1"/>
  <c r="Z47" i="5"/>
  <c r="V47" i="5"/>
  <c r="T47" i="5"/>
  <c r="Q44" i="5"/>
  <c r="O44" i="5"/>
  <c r="M44" i="5"/>
  <c r="K44" i="5"/>
  <c r="X44" i="5"/>
  <c r="V44" i="5"/>
  <c r="T44" i="5"/>
  <c r="H44" i="5"/>
  <c r="F44" i="5"/>
  <c r="D44" i="5"/>
  <c r="B44" i="5"/>
  <c r="Q42" i="5"/>
  <c r="O42" i="5"/>
  <c r="M42" i="5"/>
  <c r="K42" i="5"/>
  <c r="X42" i="5"/>
  <c r="V42" i="5"/>
  <c r="T42" i="5"/>
  <c r="H42" i="5"/>
  <c r="F42" i="5"/>
  <c r="D42" i="5"/>
  <c r="B42" i="5"/>
  <c r="Q40" i="5"/>
  <c r="O40" i="5"/>
  <c r="M40" i="5"/>
  <c r="K40" i="5"/>
  <c r="X40" i="5"/>
  <c r="V40" i="5"/>
  <c r="T40" i="5"/>
  <c r="H40" i="5"/>
  <c r="F40" i="5"/>
  <c r="D40" i="5"/>
  <c r="B40" i="5"/>
  <c r="Q35" i="5"/>
  <c r="T35" i="5"/>
  <c r="Q33" i="5"/>
  <c r="O33" i="5"/>
  <c r="M33" i="5"/>
  <c r="K33" i="5"/>
  <c r="Z33" i="5"/>
  <c r="X33" i="5"/>
  <c r="V33" i="5"/>
  <c r="T33" i="5"/>
  <c r="H33" i="5"/>
  <c r="F33" i="5"/>
  <c r="D33" i="5"/>
  <c r="B33" i="5"/>
  <c r="Q20" i="5"/>
  <c r="O20" i="5"/>
  <c r="M20" i="5"/>
  <c r="K20" i="5"/>
  <c r="Z20" i="5"/>
  <c r="X20" i="5"/>
  <c r="V20" i="5"/>
  <c r="T20" i="5"/>
  <c r="H20" i="5"/>
  <c r="F20" i="5"/>
  <c r="D20" i="5"/>
  <c r="Q9" i="5"/>
  <c r="D9" i="5"/>
  <c r="B9" i="5"/>
  <c r="Q5" i="5"/>
  <c r="O5" i="5"/>
  <c r="M5" i="5"/>
  <c r="K5" i="5"/>
  <c r="H5" i="5"/>
  <c r="F5" i="5"/>
  <c r="D5" i="5"/>
  <c r="D4" i="5" s="1"/>
  <c r="D3" i="5" s="1"/>
  <c r="AA34" i="5" l="1"/>
  <c r="P51" i="5"/>
  <c r="AA14" i="5"/>
  <c r="AA16" i="5"/>
  <c r="AA38" i="5"/>
  <c r="W7" i="5"/>
  <c r="J5" i="5"/>
  <c r="I5" i="5" s="1"/>
  <c r="J20" i="5"/>
  <c r="I20" i="5" s="1"/>
  <c r="S20" i="5"/>
  <c r="R20" i="5" s="1"/>
  <c r="AB33" i="5"/>
  <c r="U33" i="5" s="1"/>
  <c r="S33" i="5"/>
  <c r="P33" i="5" s="1"/>
  <c r="J35" i="5"/>
  <c r="I35" i="5" s="1"/>
  <c r="AB35" i="5"/>
  <c r="W35" i="5" s="1"/>
  <c r="S40" i="5"/>
  <c r="R40" i="5" s="1"/>
  <c r="S44" i="5"/>
  <c r="N44" i="5" s="1"/>
  <c r="J52" i="5"/>
  <c r="I52" i="5" s="1"/>
  <c r="AB52" i="5"/>
  <c r="Y52" i="5" s="1"/>
  <c r="AA12" i="5"/>
  <c r="AA51" i="5"/>
  <c r="Y51" i="5"/>
  <c r="S52" i="5"/>
  <c r="R52" i="5" s="1"/>
  <c r="AA49" i="5"/>
  <c r="AA53" i="5"/>
  <c r="U37" i="5"/>
  <c r="W49" i="5"/>
  <c r="S35" i="5"/>
  <c r="R35" i="5" s="1"/>
  <c r="M4" i="5"/>
  <c r="M3" i="5" s="1"/>
  <c r="J40" i="5"/>
  <c r="I40" i="5" s="1"/>
  <c r="J42" i="5"/>
  <c r="E42" i="5" s="1"/>
  <c r="J44" i="5"/>
  <c r="I44" i="5" s="1"/>
  <c r="J53" i="5"/>
  <c r="I53" i="5" s="1"/>
  <c r="S42" i="5"/>
  <c r="R42" i="5" s="1"/>
  <c r="S50" i="5"/>
  <c r="P50" i="5" s="1"/>
  <c r="Y38" i="5"/>
  <c r="U45" i="5"/>
  <c r="U10" i="5"/>
  <c r="W34" i="5"/>
  <c r="U16" i="5"/>
  <c r="W39" i="5"/>
  <c r="J33" i="5"/>
  <c r="I33" i="5" s="1"/>
  <c r="J50" i="5"/>
  <c r="I50" i="5" s="1"/>
  <c r="AA39" i="5"/>
  <c r="U41" i="5"/>
  <c r="U6" i="5"/>
  <c r="W53" i="5"/>
  <c r="W12" i="5"/>
  <c r="S47" i="5"/>
  <c r="R47" i="5" s="1"/>
  <c r="J51" i="5"/>
  <c r="I51" i="5" s="1"/>
  <c r="S9" i="5"/>
  <c r="R9" i="5" s="1"/>
  <c r="AB40" i="5"/>
  <c r="AA40" i="5" s="1"/>
  <c r="AB42" i="5"/>
  <c r="AB44" i="5"/>
  <c r="AA44" i="5" s="1"/>
  <c r="Y14" i="5"/>
  <c r="Y16" i="5"/>
  <c r="Y37" i="5"/>
  <c r="Y41" i="5"/>
  <c r="Y45" i="5"/>
  <c r="U51" i="5"/>
  <c r="U38" i="5"/>
  <c r="U24" i="5"/>
  <c r="U14" i="5"/>
  <c r="W45" i="5"/>
  <c r="W41" i="5"/>
  <c r="W37" i="5"/>
  <c r="W10" i="5"/>
  <c r="W6" i="5"/>
  <c r="AA9" i="5"/>
  <c r="AB5" i="5"/>
  <c r="W5" i="5" s="1"/>
  <c r="AA7" i="5"/>
  <c r="AA23" i="5"/>
  <c r="AA36" i="5"/>
  <c r="AA43" i="5"/>
  <c r="Y6" i="5"/>
  <c r="Y10" i="5"/>
  <c r="Y34" i="5"/>
  <c r="Y39" i="5"/>
  <c r="Y49" i="5"/>
  <c r="Y53" i="5"/>
  <c r="U43" i="5"/>
  <c r="U36" i="5"/>
  <c r="U23" i="5"/>
  <c r="U13" i="5"/>
  <c r="W24" i="5"/>
  <c r="Y24" i="5"/>
  <c r="AB20" i="5"/>
  <c r="AB47" i="5"/>
  <c r="W47" i="5" s="1"/>
  <c r="AB50" i="5"/>
  <c r="U50" i="5" s="1"/>
  <c r="Y7" i="5"/>
  <c r="Y12" i="5"/>
  <c r="Y23" i="5"/>
  <c r="Y36" i="5"/>
  <c r="Y43" i="5"/>
  <c r="L30" i="5"/>
  <c r="R30" i="5"/>
  <c r="L26" i="5"/>
  <c r="N26" i="5"/>
  <c r="P30" i="5"/>
  <c r="R38" i="5"/>
  <c r="L14" i="5"/>
  <c r="L38" i="5"/>
  <c r="N14" i="5"/>
  <c r="P26" i="5"/>
  <c r="R14" i="5"/>
  <c r="N16" i="5"/>
  <c r="P16" i="5"/>
  <c r="P38" i="5"/>
  <c r="R16" i="5"/>
  <c r="N45" i="5"/>
  <c r="R10" i="5"/>
  <c r="N6" i="5"/>
  <c r="N31" i="5"/>
  <c r="N37" i="5"/>
  <c r="P10" i="5"/>
  <c r="R21" i="5"/>
  <c r="R41" i="5"/>
  <c r="L21" i="5"/>
  <c r="L41" i="5"/>
  <c r="P6" i="5"/>
  <c r="P31" i="5"/>
  <c r="P37" i="5"/>
  <c r="P45" i="5"/>
  <c r="L10" i="5"/>
  <c r="N21" i="5"/>
  <c r="N41" i="5"/>
  <c r="R6" i="5"/>
  <c r="R31" i="5"/>
  <c r="R37" i="5"/>
  <c r="R45" i="5"/>
  <c r="L29" i="5"/>
  <c r="L34" i="5"/>
  <c r="L39" i="5"/>
  <c r="N29" i="5"/>
  <c r="N34" i="5"/>
  <c r="N39" i="5"/>
  <c r="P29" i="5"/>
  <c r="P34" i="5"/>
  <c r="P39" i="5"/>
  <c r="L7" i="5"/>
  <c r="L12" i="5"/>
  <c r="L23" i="5"/>
  <c r="L24" i="5"/>
  <c r="L36" i="5"/>
  <c r="L43" i="5"/>
  <c r="N7" i="5"/>
  <c r="N12" i="5"/>
  <c r="N23" i="5"/>
  <c r="N24" i="5"/>
  <c r="N36" i="5"/>
  <c r="N43" i="5"/>
  <c r="P7" i="5"/>
  <c r="P12" i="5"/>
  <c r="P23" i="5"/>
  <c r="P24" i="5"/>
  <c r="P36" i="5"/>
  <c r="P43" i="5"/>
  <c r="P53" i="5"/>
  <c r="P49" i="5"/>
  <c r="S5" i="5"/>
  <c r="L5" i="5" s="1"/>
  <c r="C13" i="5"/>
  <c r="E32" i="5"/>
  <c r="C7" i="5"/>
  <c r="E25" i="5"/>
  <c r="I39" i="5"/>
  <c r="G39" i="5"/>
  <c r="I34" i="5"/>
  <c r="G34" i="5"/>
  <c r="I32" i="5"/>
  <c r="G32" i="5"/>
  <c r="I25" i="5"/>
  <c r="G25" i="5"/>
  <c r="I22" i="5"/>
  <c r="G22" i="5"/>
  <c r="I18" i="5"/>
  <c r="G18" i="5"/>
  <c r="G13" i="5"/>
  <c r="I13" i="5"/>
  <c r="I7" i="5"/>
  <c r="G7" i="5"/>
  <c r="C39" i="5"/>
  <c r="C22" i="5"/>
  <c r="E39" i="5"/>
  <c r="E22" i="5"/>
  <c r="C49" i="5"/>
  <c r="C34" i="5"/>
  <c r="C18" i="5"/>
  <c r="E49" i="5"/>
  <c r="E34" i="5"/>
  <c r="E18" i="5"/>
  <c r="G49" i="5"/>
  <c r="C45" i="5"/>
  <c r="C37" i="5"/>
  <c r="C28" i="5"/>
  <c r="C21" i="5"/>
  <c r="C12" i="5"/>
  <c r="E45" i="5"/>
  <c r="E37" i="5"/>
  <c r="E28" i="5"/>
  <c r="E21" i="5"/>
  <c r="E12" i="5"/>
  <c r="G45" i="5"/>
  <c r="G37" i="5"/>
  <c r="G28" i="5"/>
  <c r="G21" i="5"/>
  <c r="G12" i="5"/>
  <c r="I41" i="5"/>
  <c r="I31" i="5"/>
  <c r="I17" i="5"/>
  <c r="I8" i="5"/>
  <c r="C38" i="5"/>
  <c r="C26" i="5"/>
  <c r="C27" i="5"/>
  <c r="C30" i="5"/>
  <c r="C16" i="5"/>
  <c r="C10" i="5"/>
  <c r="C6" i="5"/>
  <c r="E38" i="5"/>
  <c r="E26" i="5"/>
  <c r="E27" i="5"/>
  <c r="E30" i="5"/>
  <c r="E16" i="5"/>
  <c r="E10" i="5"/>
  <c r="E6" i="5"/>
  <c r="G38" i="5"/>
  <c r="G26" i="5"/>
  <c r="G27" i="5"/>
  <c r="G30" i="5"/>
  <c r="G16" i="5"/>
  <c r="G10" i="5"/>
  <c r="G6" i="5"/>
  <c r="C41" i="5"/>
  <c r="C31" i="5"/>
  <c r="C17" i="5"/>
  <c r="C8" i="5"/>
  <c r="E41" i="5"/>
  <c r="E31" i="5"/>
  <c r="E17" i="5"/>
  <c r="E8" i="5"/>
  <c r="C43" i="5"/>
  <c r="C36" i="5"/>
  <c r="C24" i="5"/>
  <c r="C29" i="5"/>
  <c r="C23" i="5"/>
  <c r="C19" i="5"/>
  <c r="C14" i="5"/>
  <c r="E43" i="5"/>
  <c r="E36" i="5"/>
  <c r="E24" i="5"/>
  <c r="E29" i="5"/>
  <c r="E23" i="5"/>
  <c r="E19" i="5"/>
  <c r="E14" i="5"/>
  <c r="G43" i="5"/>
  <c r="G36" i="5"/>
  <c r="G24" i="5"/>
  <c r="G29" i="5"/>
  <c r="G23" i="5"/>
  <c r="G19" i="5"/>
  <c r="G14" i="5"/>
  <c r="J9" i="5"/>
  <c r="G9" i="5" s="1"/>
  <c r="H46" i="5"/>
  <c r="Z46" i="5"/>
  <c r="Q46" i="5"/>
  <c r="V46" i="5"/>
  <c r="B46" i="5"/>
  <c r="B4" i="5"/>
  <c r="K4" i="5"/>
  <c r="K3" i="5" s="1"/>
  <c r="F4" i="5"/>
  <c r="O4" i="5"/>
  <c r="T46" i="5"/>
  <c r="F46" i="5"/>
  <c r="O46" i="5"/>
  <c r="H4" i="5"/>
  <c r="Z4" i="5"/>
  <c r="AB4" i="5" s="1"/>
  <c r="Q4" i="5"/>
  <c r="E35" i="5" l="1"/>
  <c r="C33" i="5"/>
  <c r="C52" i="5"/>
  <c r="G20" i="5"/>
  <c r="G52" i="5"/>
  <c r="C51" i="5"/>
  <c r="N33" i="5"/>
  <c r="L33" i="5"/>
  <c r="L44" i="5"/>
  <c r="U52" i="5"/>
  <c r="C5" i="5"/>
  <c r="P35" i="5"/>
  <c r="L20" i="5"/>
  <c r="Y35" i="5"/>
  <c r="P52" i="5"/>
  <c r="W52" i="5"/>
  <c r="AA52" i="5"/>
  <c r="C50" i="5"/>
  <c r="R50" i="5"/>
  <c r="AA35" i="5"/>
  <c r="G44" i="5"/>
  <c r="G53" i="5"/>
  <c r="Y5" i="5"/>
  <c r="P9" i="5"/>
  <c r="L40" i="5"/>
  <c r="N40" i="5"/>
  <c r="P40" i="5"/>
  <c r="W33" i="5"/>
  <c r="G50" i="5"/>
  <c r="C44" i="5"/>
  <c r="C42" i="5"/>
  <c r="L35" i="5"/>
  <c r="P20" i="5"/>
  <c r="U5" i="5"/>
  <c r="AA33" i="5"/>
  <c r="Y33" i="5"/>
  <c r="E44" i="5"/>
  <c r="E50" i="5"/>
  <c r="G42" i="5"/>
  <c r="N35" i="5"/>
  <c r="N20" i="5"/>
  <c r="AA5" i="5"/>
  <c r="U35" i="5"/>
  <c r="U44" i="5"/>
  <c r="G51" i="5"/>
  <c r="E20" i="5"/>
  <c r="E53" i="5"/>
  <c r="P44" i="5"/>
  <c r="G35" i="5"/>
  <c r="C35" i="5"/>
  <c r="E51" i="5"/>
  <c r="C20" i="5"/>
  <c r="E52" i="5"/>
  <c r="R33" i="5"/>
  <c r="R44" i="5"/>
  <c r="AA50" i="5"/>
  <c r="S46" i="5"/>
  <c r="R46" i="5" s="1"/>
  <c r="I42" i="5"/>
  <c r="J46" i="5"/>
  <c r="E46" i="5" s="1"/>
  <c r="G33" i="5"/>
  <c r="E33" i="5"/>
  <c r="P42" i="5"/>
  <c r="N42" i="5"/>
  <c r="L42" i="5"/>
  <c r="Y40" i="5"/>
  <c r="G40" i="5"/>
  <c r="E40" i="5"/>
  <c r="C40" i="5"/>
  <c r="C53" i="5"/>
  <c r="P47" i="5"/>
  <c r="AA47" i="5"/>
  <c r="AA20" i="5"/>
  <c r="W20" i="5"/>
  <c r="L9" i="5"/>
  <c r="U47" i="5"/>
  <c r="Y9" i="5"/>
  <c r="U9" i="5"/>
  <c r="W44" i="5"/>
  <c r="AB46" i="5"/>
  <c r="W46" i="5" s="1"/>
  <c r="AA42" i="5"/>
  <c r="W42" i="5"/>
  <c r="Y50" i="5"/>
  <c r="Y44" i="5"/>
  <c r="W40" i="5"/>
  <c r="Y47" i="5"/>
  <c r="U42" i="5"/>
  <c r="T3" i="5"/>
  <c r="V3" i="5"/>
  <c r="W9" i="5"/>
  <c r="W50" i="5"/>
  <c r="Y42" i="5"/>
  <c r="Y20" i="5"/>
  <c r="U20" i="5"/>
  <c r="N9" i="5"/>
  <c r="U40" i="5"/>
  <c r="Z3" i="5"/>
  <c r="W4" i="5"/>
  <c r="N5" i="5"/>
  <c r="P5" i="5"/>
  <c r="R5" i="5"/>
  <c r="S4" i="5"/>
  <c r="C9" i="5"/>
  <c r="E9" i="5"/>
  <c r="I9" i="5"/>
  <c r="J4" i="5"/>
  <c r="C4" i="5" s="1"/>
  <c r="Q3" i="5"/>
  <c r="H3" i="5"/>
  <c r="B3" i="5"/>
  <c r="F3" i="5"/>
  <c r="O3" i="5"/>
  <c r="Y46" i="5" l="1"/>
  <c r="U46" i="5"/>
  <c r="C46" i="5"/>
  <c r="G46" i="5"/>
  <c r="P46" i="5"/>
  <c r="I46" i="5"/>
  <c r="I47" i="5"/>
  <c r="C47" i="5"/>
  <c r="E47" i="5"/>
  <c r="G47" i="5"/>
  <c r="AA46" i="5"/>
  <c r="AA4" i="5"/>
  <c r="U4" i="5"/>
  <c r="Y4" i="5"/>
  <c r="AB3" i="5"/>
  <c r="W3" i="5" s="1"/>
  <c r="L4" i="5"/>
  <c r="N4" i="5"/>
  <c r="R4" i="5"/>
  <c r="S3" i="5"/>
  <c r="R3" i="5" s="1"/>
  <c r="P4" i="5"/>
  <c r="J3" i="5"/>
  <c r="C3" i="5" s="1"/>
  <c r="I4" i="5"/>
  <c r="E4" i="5"/>
  <c r="G4" i="5"/>
  <c r="AA3" i="5" l="1"/>
  <c r="U3" i="5"/>
  <c r="Y3" i="5"/>
  <c r="P3" i="5"/>
  <c r="L3" i="5"/>
  <c r="N3" i="5"/>
  <c r="E3" i="5"/>
  <c r="I3" i="5"/>
  <c r="G3" i="5"/>
  <c r="G46" i="10" l="1"/>
  <c r="G45" i="10" s="1"/>
  <c r="E46" i="10"/>
  <c r="F46" i="10" s="1"/>
  <c r="D46" i="10"/>
  <c r="E45" i="10" l="1"/>
  <c r="F45" i="10" s="1"/>
  <c r="C45" i="10"/>
  <c r="H46" i="10"/>
  <c r="E2" i="10" l="1"/>
  <c r="F2" i="10" s="1"/>
  <c r="D45" i="10"/>
  <c r="H45" i="10"/>
  <c r="C2" i="10"/>
  <c r="G2" i="10" l="1"/>
  <c r="H2" i="10"/>
  <c r="D2" i="10"/>
  <c r="U20" i="12"/>
  <c r="T20" i="12" s="1"/>
  <c r="U14" i="12"/>
  <c r="T14" i="12" s="1"/>
  <c r="U43" i="12"/>
  <c r="R43" i="12" s="1"/>
  <c r="U42" i="12"/>
  <c r="T42" i="12" s="1"/>
  <c r="U26" i="12"/>
  <c r="R26" i="12" s="1"/>
  <c r="T26" i="12"/>
  <c r="U7" i="12"/>
  <c r="T7" i="12" s="1"/>
  <c r="U34" i="12"/>
  <c r="T34" i="12" s="1"/>
  <c r="R37" i="12"/>
  <c r="T37" i="12"/>
  <c r="U37" i="12"/>
  <c r="U6" i="12"/>
  <c r="R6" i="12" s="1"/>
  <c r="T6" i="12"/>
  <c r="U31" i="12"/>
  <c r="T31" i="12" s="1"/>
  <c r="U23" i="12"/>
  <c r="R23" i="12" s="1"/>
  <c r="T23" i="12"/>
  <c r="U9" i="12"/>
  <c r="T9" i="12" s="1"/>
  <c r="U39" i="12"/>
  <c r="T39" i="12" s="1"/>
  <c r="U16" i="12"/>
  <c r="R16" i="12" s="1"/>
  <c r="U38" i="12"/>
  <c r="R38" i="12" s="1"/>
  <c r="U12" i="12"/>
  <c r="T12" i="12" s="1"/>
  <c r="U33" i="12"/>
  <c r="R33" i="12" s="1"/>
  <c r="T33" i="12"/>
  <c r="U15" i="12"/>
  <c r="T15" i="12" s="1"/>
  <c r="U44" i="12"/>
  <c r="R44" i="12" s="1"/>
  <c r="U36" i="12"/>
  <c r="T36" i="12" s="1"/>
  <c r="U41" i="12"/>
  <c r="R41" i="12" s="1"/>
  <c r="T41" i="12"/>
  <c r="T35" i="12"/>
  <c r="U24" i="12"/>
  <c r="R24" i="12" s="1"/>
  <c r="U30" i="12"/>
  <c r="T30" i="12" s="1"/>
  <c r="U21" i="12"/>
  <c r="R21" i="12" s="1"/>
  <c r="T21" i="12"/>
  <c r="U45" i="12"/>
  <c r="R45" i="12" s="1"/>
  <c r="T45" i="12"/>
  <c r="U29" i="12"/>
  <c r="R29" i="12" s="1"/>
  <c r="T29" i="12"/>
  <c r="U40" i="12"/>
  <c r="R40" i="12" s="1"/>
  <c r="U10" i="12"/>
  <c r="R10" i="12" s="1"/>
  <c r="T10" i="12"/>
  <c r="T40" i="12" l="1"/>
  <c r="T24" i="12"/>
  <c r="T38" i="12"/>
  <c r="T43" i="12"/>
  <c r="R14" i="12"/>
  <c r="R39" i="12"/>
  <c r="T44" i="12"/>
  <c r="R34" i="12"/>
  <c r="R42" i="12"/>
  <c r="R15" i="12"/>
  <c r="R31" i="12"/>
  <c r="R9" i="12"/>
  <c r="R12" i="12"/>
  <c r="R35" i="12"/>
  <c r="R30" i="12"/>
  <c r="R7" i="12"/>
  <c r="R20" i="12"/>
  <c r="R36" i="12"/>
  <c r="T16" i="12"/>
  <c r="U4" i="12"/>
  <c r="R4" i="12" s="1"/>
  <c r="T4" i="12" l="1"/>
  <c r="U5" i="12"/>
  <c r="R5" i="12" s="1"/>
  <c r="T5" i="12" l="1"/>
  <c r="AI4" i="12"/>
  <c r="AI20" i="12"/>
</calcChain>
</file>

<file path=xl/sharedStrings.xml><?xml version="1.0" encoding="utf-8"?>
<sst xmlns="http://schemas.openxmlformats.org/spreadsheetml/2006/main" count="1875" uniqueCount="716">
  <si>
    <t>Priority</t>
  </si>
  <si>
    <t>Topic</t>
  </si>
  <si>
    <t>Number</t>
  </si>
  <si>
    <t>Description</t>
  </si>
  <si>
    <t>Reported</t>
  </si>
  <si>
    <t>Reference</t>
  </si>
  <si>
    <t>ICMM Principle</t>
  </si>
  <si>
    <t>UN Global Compact Principle</t>
  </si>
  <si>
    <t>SDG</t>
  </si>
  <si>
    <t>Comment</t>
  </si>
  <si>
    <t>Core</t>
  </si>
  <si>
    <t>Standard Disclosures</t>
  </si>
  <si>
    <t>102-1</t>
  </si>
  <si>
    <t>Name of the organization</t>
  </si>
  <si>
    <t>Fully</t>
  </si>
  <si>
    <t>About this report</t>
  </si>
  <si>
    <t>Barrick Gold Corporation</t>
  </si>
  <si>
    <t>102-2</t>
  </si>
  <si>
    <t>Activities, brands, products, and services</t>
  </si>
  <si>
    <t>Annual Information Form</t>
  </si>
  <si>
    <t>Barrick’s principle products and sources of earnings are gold and copper.</t>
  </si>
  <si>
    <t>102-3</t>
  </si>
  <si>
    <t>Location of headquarters</t>
  </si>
  <si>
    <t>Our business at a glance</t>
  </si>
  <si>
    <t>102-4</t>
  </si>
  <si>
    <t>Location of operations</t>
  </si>
  <si>
    <t>102-5</t>
  </si>
  <si>
    <t>Ownership and legal form</t>
  </si>
  <si>
    <t>Barrick is a corporation owned by shareholders. It is listed on both the New York and Toronto stock exchanges.</t>
  </si>
  <si>
    <t>102-6</t>
  </si>
  <si>
    <t>Markets served</t>
  </si>
  <si>
    <t xml:space="preserve">GRI content index </t>
  </si>
  <si>
    <t>Gold can be readily sold on numerous markets throughout the world. Governments, central banks and other official institutions hold significant quantities of gold as a component of exchange reserves. Since there are a large number of available gold purchasers, Barrick is not dependent upon the sale of gold to any one customer. At the Lumwana and Jabal Sayid copper mines, concentrate is sold to smelters. Since there are a large number of available copper cathode and copper concentrate purchasers, Barrick is not dependent upon the sale of copper to any one customer.</t>
  </si>
  <si>
    <t>102-7</t>
  </si>
  <si>
    <t>Scale of the organization</t>
  </si>
  <si>
    <t>Our business at a glance; 2018 Annual Information Form; 2018 Annual Report</t>
  </si>
  <si>
    <r>
      <rPr>
        <b/>
        <sz val="10"/>
        <rFont val="Arial"/>
        <family val="2"/>
      </rPr>
      <t xml:space="preserve">Total number of people employed by Barrick: </t>
    </r>
    <r>
      <rPr>
        <sz val="10"/>
        <rFont val="Arial"/>
        <family val="2"/>
      </rPr>
      <t>19,530</t>
    </r>
  </si>
  <si>
    <r>
      <rPr>
        <b/>
        <sz val="10"/>
        <rFont val="Arial"/>
        <family val="2"/>
      </rPr>
      <t xml:space="preserve">Total number of operations: </t>
    </r>
    <r>
      <rPr>
        <sz val="10"/>
        <rFont val="Arial"/>
        <family val="2"/>
      </rPr>
      <t xml:space="preserve">Barrick’s business is organized into operating segments for financial reporting purposes, comprising eleven individual minesites, one grouping of two minesites, one publicly traded company and one project.
For the year ended December 31, 2018, Barrick’s reportable operating segments were Barrick Nevada, Pueblo Viejo, Lagunas Norte, Veladero, Turquoise Ridge, Acacia and Pascua-Lama. For financial reporting purposes, the Company’s remaining operating segments that are not reportable operating segments are grouped into an “other” category and are not reported on individually. Following Barrick’s merger with Randgold effective January 1, 2019 (the “Merger”), Barrick’s reportable operating segments for financial reporting purposes will also include the Kibali mine and the Loulo-Gounkoto complex. </t>
    </r>
  </si>
  <si>
    <r>
      <rPr>
        <b/>
        <sz val="10"/>
        <rFont val="Arial"/>
        <family val="2"/>
      </rPr>
      <t>Revenue:</t>
    </r>
    <r>
      <rPr>
        <sz val="10"/>
        <rFont val="Arial"/>
        <family val="2"/>
      </rPr>
      <t xml:space="preserve"> $7.2 billion. Note this figure does not include revenues from the acquired Randgold Resources Limited operations.</t>
    </r>
  </si>
  <si>
    <r>
      <rPr>
        <b/>
        <sz val="10"/>
        <rFont val="Arial"/>
        <family val="2"/>
      </rPr>
      <t xml:space="preserve">Total Capitalization: </t>
    </r>
    <r>
      <rPr>
        <sz val="10"/>
        <rFont val="Arial"/>
        <family val="2"/>
      </rPr>
      <t xml:space="preserve"> As of December 31, 2018 total debt was $5.74 billion and total equity was $9.385 billion</t>
    </r>
  </si>
  <si>
    <r>
      <rPr>
        <b/>
        <sz val="10"/>
        <rFont val="Arial"/>
        <family val="2"/>
      </rPr>
      <t>Quantity of Products:</t>
    </r>
    <r>
      <rPr>
        <sz val="10"/>
        <rFont val="Arial"/>
        <family val="2"/>
      </rPr>
      <t xml:space="preserve"> In 2018, Barrick’s gold production was 4.53 million ounces and copper production in 2018 was 383 million pounds of copper. This does not include production from the acquired Randgold Resources Limited operations.</t>
    </r>
  </si>
  <si>
    <t>102-8</t>
  </si>
  <si>
    <t>Information on employees and other workers</t>
  </si>
  <si>
    <t>Workforce Composition</t>
  </si>
  <si>
    <t>Full data set found in the attached data sheets.</t>
  </si>
  <si>
    <t>102-9</t>
  </si>
  <si>
    <t>Supply chain</t>
  </si>
  <si>
    <t>Prioritizing local buying</t>
  </si>
  <si>
    <t>102-10</t>
  </si>
  <si>
    <t>Significant changes to the organization and its supply chain</t>
  </si>
  <si>
    <t>Message from our CEO; Our approach; 2018 Annual Information Form</t>
  </si>
  <si>
    <t>102-11</t>
  </si>
  <si>
    <t>Precautionary Principle or approach</t>
  </si>
  <si>
    <t>GRI content index</t>
  </si>
  <si>
    <t>Since there may be significant impacts to the environment due to our operations, Barrick is committed to using a precautionary approach throughout the life of a mine. When contemplating changes to mine plans we first assess potential environmental impacts, and then evaluate how to avoid, control or mitigate these impacts, even when there is a lack of scientific certainty as to the likelihood or magnitude of the impacts.</t>
  </si>
  <si>
    <t>102-12</t>
  </si>
  <si>
    <t>External initiatives</t>
  </si>
  <si>
    <t>102-13</t>
  </si>
  <si>
    <t xml:space="preserve">Membership of associations </t>
  </si>
  <si>
    <t>102-14</t>
  </si>
  <si>
    <t>Statement from senior decision-maker</t>
  </si>
  <si>
    <t>Message from our CEO</t>
  </si>
  <si>
    <t>102-15</t>
  </si>
  <si>
    <t>Key impacts, risks, and opportunities</t>
  </si>
  <si>
    <t>Our approach</t>
  </si>
  <si>
    <t>102-16</t>
  </si>
  <si>
    <t xml:space="preserve">Values, principles, standards, and norms of behavior </t>
  </si>
  <si>
    <t>Our approach - Our principles</t>
  </si>
  <si>
    <t>102-17</t>
  </si>
  <si>
    <t>Mechanisms for advice and concerns about ethics</t>
  </si>
  <si>
    <t>Doing business in an ethical manner</t>
  </si>
  <si>
    <t>102-18</t>
  </si>
  <si>
    <t xml:space="preserve">Governance structure </t>
  </si>
  <si>
    <t>Our approach - Governance of sustainability</t>
  </si>
  <si>
    <t>102-19</t>
  </si>
  <si>
    <t xml:space="preserve">Delegating authority </t>
  </si>
  <si>
    <t>102-20</t>
  </si>
  <si>
    <t xml:space="preserve">Executive-level responsibility for economic, environmental, and social topics </t>
  </si>
  <si>
    <t>102-21</t>
  </si>
  <si>
    <t xml:space="preserve">Consulting stakeholders on economic, environmental, and social topics </t>
  </si>
  <si>
    <t>Our approach - Stakeholder engagement</t>
  </si>
  <si>
    <t>102-22</t>
  </si>
  <si>
    <t xml:space="preserve">Composition of the highest governance body and its committees </t>
  </si>
  <si>
    <t>2018 Information Circular</t>
  </si>
  <si>
    <t>102-23</t>
  </si>
  <si>
    <t xml:space="preserve">Chair of the highest governance body </t>
  </si>
  <si>
    <t>2019 Information Circular</t>
  </si>
  <si>
    <t>102-24</t>
  </si>
  <si>
    <t xml:space="preserve">Nominating and selecting the highest governance body </t>
  </si>
  <si>
    <t>102-25</t>
  </si>
  <si>
    <t xml:space="preserve">Conflicts of interest </t>
  </si>
  <si>
    <t>102-35</t>
  </si>
  <si>
    <t>Remuneration policies</t>
  </si>
  <si>
    <t>Our approach - remuneration policies; 2019 Information Circular</t>
  </si>
  <si>
    <t>102-36</t>
  </si>
  <si>
    <t xml:space="preserve">Process for determining remuneration </t>
  </si>
  <si>
    <t>102-37</t>
  </si>
  <si>
    <t xml:space="preserve">Stakeholders’ involvement in remuneration </t>
  </si>
  <si>
    <t>102-40</t>
  </si>
  <si>
    <t xml:space="preserve">List of stakeholder groups </t>
  </si>
  <si>
    <t>102-41</t>
  </si>
  <si>
    <t>Collective bargaining agreements</t>
  </si>
  <si>
    <t>Human rights - Labour relations</t>
  </si>
  <si>
    <t>Approximately 38% of employees were covered by collective bargaining agreements in 2018 across both legacy companies.</t>
  </si>
  <si>
    <t>102-42</t>
  </si>
  <si>
    <t xml:space="preserve">Identifying and selecting stakeholders </t>
  </si>
  <si>
    <t>102-43</t>
  </si>
  <si>
    <t>Approach to stakeholder engagement</t>
  </si>
  <si>
    <t>102-44</t>
  </si>
  <si>
    <t>Key topics and concerns raised</t>
  </si>
  <si>
    <t>102-45</t>
  </si>
  <si>
    <t xml:space="preserve">Entities included in the consolidated financial statements </t>
  </si>
  <si>
    <t>102-46</t>
  </si>
  <si>
    <t xml:space="preserve">Defining report content and topic Boundaries </t>
  </si>
  <si>
    <t>Materiality assessment</t>
  </si>
  <si>
    <t>102-47</t>
  </si>
  <si>
    <t xml:space="preserve">List of material topics </t>
  </si>
  <si>
    <t>102-48</t>
  </si>
  <si>
    <t>Restatements of information</t>
  </si>
  <si>
    <t xml:space="preserve"> Barrick restated its historical data following changes to the methodology to capture a wider scope of industrial emissions, updated conversion factors, and to include emissions from smaller contributors (such as gasoline). Certain joint venture properties were also not included in Barrick’s previous reporting.</t>
  </si>
  <si>
    <t>102-49</t>
  </si>
  <si>
    <t xml:space="preserve">Changes in reporting </t>
  </si>
  <si>
    <t>102-50</t>
  </si>
  <si>
    <t xml:space="preserve">Reporting period </t>
  </si>
  <si>
    <t>102-51</t>
  </si>
  <si>
    <t xml:space="preserve">Date of most recent report </t>
  </si>
  <si>
    <t>102-52</t>
  </si>
  <si>
    <t>Reporting cycle</t>
  </si>
  <si>
    <t>Annual.</t>
  </si>
  <si>
    <t>102-53</t>
  </si>
  <si>
    <t xml:space="preserve">Contact point for questions regarding the report </t>
  </si>
  <si>
    <t>responsibility@barrick.com</t>
  </si>
  <si>
    <t>102-54</t>
  </si>
  <si>
    <t>Claims of reporting in accordance with the GRI Standards</t>
  </si>
  <si>
    <t>Barrick reports to the GRI Sustainability Reporting Standards, in accordance with the Core option.</t>
  </si>
  <si>
    <t>102-55</t>
  </si>
  <si>
    <t>102-56</t>
  </si>
  <si>
    <t xml:space="preserve">External assurance </t>
  </si>
  <si>
    <t>Letters of independent assurance</t>
  </si>
  <si>
    <t>Material topic</t>
  </si>
  <si>
    <t>Economic Performance</t>
  </si>
  <si>
    <t>GRI DMA</t>
  </si>
  <si>
    <t>Social and economic development; Economic contributions</t>
  </si>
  <si>
    <t>6, 10</t>
  </si>
  <si>
    <t>GRI 201-1</t>
  </si>
  <si>
    <t>Direct economic value geneated and distributed</t>
  </si>
  <si>
    <t>Partially</t>
  </si>
  <si>
    <t>2, 5, 7, 9</t>
  </si>
  <si>
    <t>GRI 201-2</t>
  </si>
  <si>
    <t>Financial implications and other risks and opportunities due to
climate change</t>
  </si>
  <si>
    <t>Climate change; 2018 Annual information form</t>
  </si>
  <si>
    <t>GRI 201-3</t>
  </si>
  <si>
    <t>Defined benefit plan obligations and other retirement plans</t>
  </si>
  <si>
    <t>2018 Annual report</t>
  </si>
  <si>
    <t>Market Presence</t>
  </si>
  <si>
    <t>DMA</t>
  </si>
  <si>
    <t>Social and economic development - Prioritising local hiring</t>
  </si>
  <si>
    <t>GRI 202-2</t>
  </si>
  <si>
    <t>Proportion of senior management hired from the local community</t>
  </si>
  <si>
    <t>Priortising local hiring; Local employment</t>
  </si>
  <si>
    <t>Procurement Practices</t>
  </si>
  <si>
    <t>Prioritising local buying</t>
  </si>
  <si>
    <t>GRI 204-1</t>
  </si>
  <si>
    <t>Proportion of spending on local suppliers</t>
  </si>
  <si>
    <t>Prioritising local buying; Economic contributions</t>
  </si>
  <si>
    <t>Anti-Corruption</t>
  </si>
  <si>
    <t>Doing business in an ethical manner - Anti-corruption compliance</t>
  </si>
  <si>
    <t>1, 4</t>
  </si>
  <si>
    <t>GRI 205-1</t>
  </si>
  <si>
    <t>Operations assessed for risks related to corruption</t>
  </si>
  <si>
    <t xml:space="preserve">We require each site to conduct a self-assessment for corruption risk in line with the requirements of the US Foreign Corrupt Practices Act (FCPA).  We also conduct external, independent assessments for medium- and high-risk sites.  In 2018, this included an anti-corruption risk assessment for Pueblo Viejo and high-level anti-corruption programme reviews of the head office and sites in Argentina, Zambia, Dominican Republic &amp; Peru.  In 2019, external assessments will be carried out at four sites with high potential risk for corruption including two former Randgold sites.  Risk assessments are overseen by the Audit Committee of our Board.  </t>
  </si>
  <si>
    <t>GRI 205-2</t>
  </si>
  <si>
    <t>Communication and training about anti-corruption policies
and procedures</t>
  </si>
  <si>
    <t xml:space="preserve">Training on anti-corruption as a mandatory part of induction.  We also provide enhanced live training for at least 90% of those people most exposed to corruption risk, and meeting this target is part of the annual remuneration scorecard for our CEO and senior leaders.  In total over 5,000 employees were trained on anti-corruption at legacy Barrick sites in 2018. </t>
  </si>
  <si>
    <t>Material Use</t>
  </si>
  <si>
    <t>Management approach disclosures</t>
  </si>
  <si>
    <t>Managing our impacts on the natural environment - Waste management - Managing hazardous waste; Materials</t>
  </si>
  <si>
    <t>6, 8</t>
  </si>
  <si>
    <t>Cyanide and Lime Use</t>
  </si>
  <si>
    <t>Managing our impacts on the natural environment - Waste management - Managing hazardous waste</t>
  </si>
  <si>
    <t>Energy</t>
  </si>
  <si>
    <t>Managing our impacts on the natural environment - Climate change</t>
  </si>
  <si>
    <t>1, 6</t>
  </si>
  <si>
    <t>8, 9</t>
  </si>
  <si>
    <t>GRI 302-1</t>
  </si>
  <si>
    <t>Energy consumption within the organization</t>
  </si>
  <si>
    <t>Managing our impacts on the natural environment - Climate change; Energy use</t>
  </si>
  <si>
    <t>7, 13</t>
  </si>
  <si>
    <t xml:space="preserve">Full data set found in the attached data sheets. Energy use calculated using volumes of fuel or electricity used and relevant IPCC energy factors. </t>
  </si>
  <si>
    <t>GRI 302-3</t>
  </si>
  <si>
    <t>Energy intensity</t>
  </si>
  <si>
    <t xml:space="preserve">Full data set found in the attached data sheets. Energy intensity only includes energy consumed within the organization (fuel and electricity use). Tonnes of ore processed and ounces of gold produced are included at a 100% basis. </t>
  </si>
  <si>
    <t>Water and Effluents</t>
  </si>
  <si>
    <t>Managing our impacts on the natural environment - Managing water responsibly</t>
  </si>
  <si>
    <t xml:space="preserve">GRI 303-3 </t>
  </si>
  <si>
    <t>Water withdrawal</t>
  </si>
  <si>
    <t>Managing our impacts on the natural environment - Managing water responsibly; Water</t>
  </si>
  <si>
    <t>Full data set found in the attached data sheets. Data has been compiled in accordance with the ICMM Water Accounting Framework</t>
  </si>
  <si>
    <t>GRI 303-4</t>
  </si>
  <si>
    <t>Water discharge</t>
  </si>
  <si>
    <t>Full data set found in the attached data sheets. Data has been compiled based on the ICMM Water Accounting Framework</t>
  </si>
  <si>
    <t>GRI 303-5</t>
  </si>
  <si>
    <t>Water consumption</t>
  </si>
  <si>
    <t>Biodiversity</t>
  </si>
  <si>
    <t>Managing our impacts on the natural environment - Biodiversity</t>
  </si>
  <si>
    <t>6, 7</t>
  </si>
  <si>
    <t>GRI 304-1</t>
  </si>
  <si>
    <t>Operational sites owned, leased, managed in, or adjacent to, protected areas and areas of high biodiversity value outside protected areas</t>
  </si>
  <si>
    <t>GRI 304-3</t>
  </si>
  <si>
    <t>Habitats protected or restored</t>
  </si>
  <si>
    <t>MM10</t>
  </si>
  <si>
    <t>Amount of land disturbed or rehabilitated</t>
  </si>
  <si>
    <t>Emissions</t>
  </si>
  <si>
    <t>Managing our impacts on the natural environment - Climate Change; Managing our impacts on the natural environment - Air emissions</t>
  </si>
  <si>
    <t>GRI 305-1</t>
  </si>
  <si>
    <t>Direct (Scope 1) GHG emissions</t>
  </si>
  <si>
    <t>Managing our impacts on the natural environment - Climate Change; Climate change</t>
  </si>
  <si>
    <t>Full data set found in the attached data sheets. Emissions include CO2, CH4, N2O; PFCs, SF6 and NF3 are not reported as they are not material sources of emissions. Emissions are calculated using volumes of fuel  applicable Greenhouse Gas Protocol factors.</t>
  </si>
  <si>
    <t>GRI 305-2</t>
  </si>
  <si>
    <t>Scope 2 Location</t>
  </si>
  <si>
    <t>Full data set found in the attached data sheets. Emissions are calculated using applicable state- or province-specific location factors or IEA country-factors where these are unavailable.</t>
  </si>
  <si>
    <t>Scope 2 Market</t>
  </si>
  <si>
    <t xml:space="preserve">Full data set found in the attached data sheets. Market based emissions for Nevada are calculated based on Portfolio Emission Credits (PECs) purchased. </t>
  </si>
  <si>
    <t>GRI 305-3</t>
  </si>
  <si>
    <t>Other indirect (Scope 3) GHG emissions</t>
  </si>
  <si>
    <t xml:space="preserve">Full data set found in the attached data sheets. Scope 3 greenhouse gas emissions for legacy Barrick include fuel and energy related activities and head office business travel. Scope 3 greenhouse gas emissions for former Randgold sites include upstream transporation and distribution, purchased goods and services and business travel. </t>
  </si>
  <si>
    <t>GRI 305-4</t>
  </si>
  <si>
    <t>GHG emissions intensity</t>
  </si>
  <si>
    <t xml:space="preserve">Full data set found in the attached data sheets. Greenhouse gas intensity includes Scope 1 and Scope 2 - Location emissions. Tonnes of ore processed and ounces of gold produced are included at a 100% basis. </t>
  </si>
  <si>
    <t>GRI 305-5</t>
  </si>
  <si>
    <t>Reduction of GHG emissions</t>
  </si>
  <si>
    <t>No</t>
  </si>
  <si>
    <t>Managing our impacts on the natural environment - Climate Change</t>
  </si>
  <si>
    <t>GRI 305-7</t>
  </si>
  <si>
    <t xml:space="preserve">Nitrogen oxides (NOX), sulfur oxides (SOX), and other significant air emissions </t>
  </si>
  <si>
    <t>Managing our impacts on the natural environment - Air emissions; Air emissions</t>
  </si>
  <si>
    <t>Full data set found in the attached data sheets. Air emissions data only includes sites and emissions  required by government regulation. Emissions are calculated in accordance with local regulatory requirments. Emission do not include certain legacy Barrick properties or the former Randgold sites.</t>
  </si>
  <si>
    <t>Waste</t>
  </si>
  <si>
    <t>Mine waste</t>
  </si>
  <si>
    <t>Managing our impacts on the natural environment - Environmental impacts; Managing our impacts on the natural environment - Waste management</t>
  </si>
  <si>
    <t>1, 6, 8</t>
  </si>
  <si>
    <t>GRI 306-2</t>
  </si>
  <si>
    <t>Waste by type and disposal method</t>
  </si>
  <si>
    <t>Managing our impacts on the natural environment - Waste Management</t>
  </si>
  <si>
    <t>6, 12</t>
  </si>
  <si>
    <t>Waste data is only reported for former Randgold sites. Full data set found in the attached data sheets.</t>
  </si>
  <si>
    <t>GRI 306-3</t>
  </si>
  <si>
    <t>Signficant spills</t>
  </si>
  <si>
    <t xml:space="preserve">Managing our impacts on the natural environment - Environmental impacts  </t>
  </si>
  <si>
    <t xml:space="preserve">Signficant spills include incidents classified as reportable (legacy Barrick) or class 2 (former Randgold ). </t>
  </si>
  <si>
    <t>Environmental compliance</t>
  </si>
  <si>
    <t>4, 6, 8</t>
  </si>
  <si>
    <t>GRI 307-1</t>
  </si>
  <si>
    <t>Non-compliance with environmental laws and regulations</t>
  </si>
  <si>
    <t>Incidents of significant fines and compliance issues are detailed in the AIF.</t>
  </si>
  <si>
    <t>Employment</t>
  </si>
  <si>
    <t>Labour relations</t>
  </si>
  <si>
    <t>1, 3, 5</t>
  </si>
  <si>
    <t>1, 2, 3, 6</t>
  </si>
  <si>
    <t>GRI 401-1</t>
  </si>
  <si>
    <t>New employee hires and employee turnover</t>
  </si>
  <si>
    <t>Turnover</t>
  </si>
  <si>
    <t>Labor / Management Relations</t>
  </si>
  <si>
    <t>1, 3, 6</t>
  </si>
  <si>
    <t>GRI 402-1</t>
  </si>
  <si>
    <t>Minimum notice periods regarding operational changes</t>
  </si>
  <si>
    <t>Labour relations - management approach</t>
  </si>
  <si>
    <t>MM</t>
  </si>
  <si>
    <t>Strikes and lockouts</t>
  </si>
  <si>
    <t>Labour relations - 2018 performance</t>
  </si>
  <si>
    <t>Occupational Health and Safety</t>
  </si>
  <si>
    <t>Safety; Occupational health</t>
  </si>
  <si>
    <t>4, 5</t>
  </si>
  <si>
    <t>GRI 403-8</t>
  </si>
  <si>
    <t>Workers covered by an occupational health and safety management system</t>
  </si>
  <si>
    <t>Occupational health - 2018 Performance</t>
  </si>
  <si>
    <t>3, 8</t>
  </si>
  <si>
    <t>GRI 403-9</t>
  </si>
  <si>
    <t>Work-related injuries</t>
  </si>
  <si>
    <t>Safety - 2018 Performance; Injuries</t>
  </si>
  <si>
    <t>GRI 403-10</t>
  </si>
  <si>
    <t>Work-related ill health</t>
  </si>
  <si>
    <t>Training and education</t>
  </si>
  <si>
    <t>Training our talent</t>
  </si>
  <si>
    <t>3, 6</t>
  </si>
  <si>
    <t>GRI 404-1</t>
  </si>
  <si>
    <t>Average hours of training per year per employee</t>
  </si>
  <si>
    <t>4, 8</t>
  </si>
  <si>
    <t xml:space="preserve">Both former Randgold and legacy Barrick sites placed considerable time and financial investment in staff development during 2018.  Taken together the two companies provided an average of 40 hours of training to each full-time employee (FTE) in 2018 and invested over $32m, or approximately $1,600 per FTE, in formal staff training. This represents 45 hours per FTE at legacy Barrick sites, and approximately 23 average hours per FTE at former Randgold.  </t>
  </si>
  <si>
    <t>GRI 404-2</t>
  </si>
  <si>
    <t>Programs for upgrading employee skills and transition
assistance programs</t>
  </si>
  <si>
    <t>GRI 404-3</t>
  </si>
  <si>
    <t>Percentage of employees receiving regular performance
and career development reviews</t>
  </si>
  <si>
    <t>Percentage of male executive level employees receiving regular performance and career development reviews: 100%</t>
  </si>
  <si>
    <t>Percentage of female executive level employees receiving regular performance and career development reviews: 100%</t>
  </si>
  <si>
    <t>Percentage of male management level employees receiving regular performance and career development reviews: 91%</t>
  </si>
  <si>
    <t>Percentage of female management level employees receiving regular performance and career development reviews: 91%</t>
  </si>
  <si>
    <t>Percentage of male non-management level employees receiving regular performance and career development reviews: 85%</t>
  </si>
  <si>
    <t>Percentage of female non-management level employees receiving regular performance and career development reviews: 85%</t>
  </si>
  <si>
    <t>Note: Data does not include  former Randgold employees.</t>
  </si>
  <si>
    <t>Diversity and equal opportunity</t>
  </si>
  <si>
    <t>Human rights - Gender diversity and non-discrimination</t>
  </si>
  <si>
    <t>1, 2, 6</t>
  </si>
  <si>
    <t>GRI 405-1</t>
  </si>
  <si>
    <t>Diversity of governance bodies and employes</t>
  </si>
  <si>
    <t>Freedom of association and collective bargaining</t>
  </si>
  <si>
    <t>1, 3</t>
  </si>
  <si>
    <t>1, 2, 3</t>
  </si>
  <si>
    <t>GRI 407-1</t>
  </si>
  <si>
    <t>Operations and suppliers in which the right to freedom
of association and collective bargaining may be at risk</t>
  </si>
  <si>
    <t>Human rights - Human rights compliance</t>
  </si>
  <si>
    <t>We did not identify any evidence of violations of the right to freedom of association and collective bargaining at any of the sites across the expanded group.</t>
  </si>
  <si>
    <t>Child labor</t>
  </si>
  <si>
    <t>1, 2, 5</t>
  </si>
  <si>
    <t>GRI 408-1</t>
  </si>
  <si>
    <t>Operations and suppliers at significant risk for incidents of child labor</t>
  </si>
  <si>
    <t xml:space="preserve">We did not identify any evidence of slave or forced labour, child labour or human trafficking on any of the sites across the expanded Group.  </t>
  </si>
  <si>
    <t>Forced or compulsory labor</t>
  </si>
  <si>
    <t>1, 2, 4</t>
  </si>
  <si>
    <t>GRI 409-1</t>
  </si>
  <si>
    <t>Operations and suppliers at significant risk for incidents of forced or compulsory labor</t>
  </si>
  <si>
    <t>Security Practices</t>
  </si>
  <si>
    <t>Human rights - Security</t>
  </si>
  <si>
    <t>1, 2</t>
  </si>
  <si>
    <t>GRI 410-1</t>
  </si>
  <si>
    <t>Security personnel trained in human rights policies or procedures</t>
  </si>
  <si>
    <t xml:space="preserve">In 2018, all security personnel at legacy Barrick sites (more than 800 employees and approximately 700 contractors) received dedicated, in-person human rights training, including use-of-force training.  This comprised more than 17,500 hours of total training.  </t>
  </si>
  <si>
    <t>Rights of indigenous peoples</t>
  </si>
  <si>
    <t>Human rights - Indigenous Peoples</t>
  </si>
  <si>
    <t>1, 2, 3, 4, 9</t>
  </si>
  <si>
    <t>GRI 411-1</t>
  </si>
  <si>
    <t>Incidents of violations involving rights of indigenous peoples</t>
  </si>
  <si>
    <t xml:space="preserve">There were no major incidents or violations of rights involving indigenous populations at our sites in 2018. </t>
  </si>
  <si>
    <t>Human rights assessments</t>
  </si>
  <si>
    <t>1, 3, 10</t>
  </si>
  <si>
    <t>GRI 412-1</t>
  </si>
  <si>
    <t>Operations that have been subject to human rights reviews
or impact assessments</t>
  </si>
  <si>
    <t xml:space="preserve">Part of our human rights compliance is a human rights risk assessment programme that operates on a two-year cycle.  In each initial year every mine conducts self-assessments to evaluate the actual, potential and perceived human rights risks and impacts on the operation.  In the second year, a stand-alone, independent human rights assessment programme is conducted on sites exposed to high- and medium-levels of risk for human rights incidents.  The assessments are conducted by Avanzar, a respected independent consulting organisation.  In 2018, independent assessments were conducted at the Lumwana mine in Zambia and the Lagunas Norte and Pierina mines in Peru.  </t>
  </si>
  <si>
    <t>GRI 412-2</t>
  </si>
  <si>
    <t>Employee training on human rights policies or procedures</t>
  </si>
  <si>
    <t xml:space="preserve">We provide training on our human rights expectations to all new employees. We provide further training on human rights for locations and functions where human rights risks are most acute, such as security personnel. We have a corporate target for 90% of employees, identified as working in areas of highest risk to receive enhanced in-person human rights training. Achieving this target forms part of the remuneration scorecard for all employees. </t>
  </si>
  <si>
    <t>Local communities</t>
  </si>
  <si>
    <t>Community engagement and development - Community engagement</t>
  </si>
  <si>
    <t>1, 2, 3, 4, 9, 10</t>
  </si>
  <si>
    <t>GRI 413-1</t>
  </si>
  <si>
    <t>Operations with local community engagement, impact assessments,
and development programs</t>
  </si>
  <si>
    <t>9, 10</t>
  </si>
  <si>
    <t>GRI 413-2</t>
  </si>
  <si>
    <t>Operations with significant actual and potential negative impacts on
local communities</t>
  </si>
  <si>
    <t>Supplier social assessment</t>
  </si>
  <si>
    <t>Human rights - Human rights compliance - Suppliers</t>
  </si>
  <si>
    <t>3, 10</t>
  </si>
  <si>
    <t>GRI 414-1</t>
  </si>
  <si>
    <t>New suppliers that were screened using social criteria</t>
  </si>
  <si>
    <t>Public policy</t>
  </si>
  <si>
    <t>Our approach - Government affairs</t>
  </si>
  <si>
    <t>GRI 415-1</t>
  </si>
  <si>
    <t>Political contributions</t>
  </si>
  <si>
    <t xml:space="preserve">In 2018, the only political contributions made by either of the legacy companies were for a total of $19,500 in Zambia for a presidential lunch and agricultural show, and $192,000 in donations to campaigns of both parties in Nevada.  </t>
  </si>
  <si>
    <t>Socio-economic compliance</t>
  </si>
  <si>
    <t>GRI 419-1</t>
  </si>
  <si>
    <t>Non-compliance with laws and regulations in the social
and economic area</t>
  </si>
  <si>
    <t>2018 Annual information form</t>
  </si>
  <si>
    <t>Artisanal and small scale mining</t>
  </si>
  <si>
    <t>Community engagement and development - Community development - Artisanal and small scale mining</t>
  </si>
  <si>
    <t>GRI MM8</t>
  </si>
  <si>
    <t>Artisanal mining</t>
  </si>
  <si>
    <t>Resettlement</t>
  </si>
  <si>
    <t>Community engagement and development - Community development - Resettlement</t>
  </si>
  <si>
    <t>GRI MM9</t>
  </si>
  <si>
    <t>Mine Closure</t>
  </si>
  <si>
    <t>Social and economic development - Closure</t>
  </si>
  <si>
    <t>Closure planning</t>
  </si>
  <si>
    <t>8, 9, 10</t>
  </si>
  <si>
    <t>Total contributions</t>
  </si>
  <si>
    <t>Payments to Employees</t>
  </si>
  <si>
    <t>Purchases of Goods and Services</t>
  </si>
  <si>
    <t>Payments to Governments</t>
  </si>
  <si>
    <t>Other Payments</t>
  </si>
  <si>
    <t>Community Investments</t>
  </si>
  <si>
    <t>Total employee wages or salaries - Expatriate Employees</t>
  </si>
  <si>
    <t>Total Employee wages or salaries - National Employees</t>
  </si>
  <si>
    <t>Total</t>
  </si>
  <si>
    <t>Total in-country</t>
  </si>
  <si>
    <t>Wages or salaries</t>
  </si>
  <si>
    <t>Total employee benefits - Expatriate Employees</t>
  </si>
  <si>
    <t>Total employee benefits - National Employees</t>
  </si>
  <si>
    <t>Benefits</t>
  </si>
  <si>
    <t>Total payroll taxes paid on behalf of  employees - Expatriate Employees</t>
  </si>
  <si>
    <t>Total payroll taxes paid on behalf of  employees - National Employees</t>
  </si>
  <si>
    <t>Payroll taxes paid on behalf of employees</t>
  </si>
  <si>
    <t>Total employment taxes - Expatriate employees</t>
  </si>
  <si>
    <t>Total employment taxes - National Employees</t>
  </si>
  <si>
    <t>Employment taxes</t>
  </si>
  <si>
    <t>Purchases from Local Suppliers</t>
  </si>
  <si>
    <t>Purchases from Regional Suppliers</t>
  </si>
  <si>
    <t>Purchases from National Suppliers</t>
  </si>
  <si>
    <t>Purchases from International Suppliers</t>
  </si>
  <si>
    <t xml:space="preserve">Total </t>
  </si>
  <si>
    <t>Sales and Value Added Tax</t>
  </si>
  <si>
    <r>
      <t xml:space="preserve"> Royalties paid to Governments</t>
    </r>
    <r>
      <rPr>
        <i/>
        <sz val="9"/>
        <rFont val="Arial"/>
        <family val="2"/>
      </rPr>
      <t xml:space="preserve"> </t>
    </r>
  </si>
  <si>
    <t xml:space="preserve"> Other taxes</t>
  </si>
  <si>
    <t xml:space="preserve"> Income taxes</t>
  </si>
  <si>
    <t>Royalties paid to third-parties</t>
  </si>
  <si>
    <t>Payments to local communities as part of land use agreements, not including land purchases</t>
  </si>
  <si>
    <t xml:space="preserve">Compensation Payments </t>
  </si>
  <si>
    <t>Health</t>
  </si>
  <si>
    <t>Education</t>
  </si>
  <si>
    <t>Economic development and infrastructure</t>
  </si>
  <si>
    <t>Water and community utilities</t>
  </si>
  <si>
    <t>Food security</t>
  </si>
  <si>
    <t>Community-based environment projects</t>
  </si>
  <si>
    <t>Community Engagement</t>
  </si>
  <si>
    <t>Other</t>
  </si>
  <si>
    <t>Arts, Culture &amp; Sports</t>
  </si>
  <si>
    <t>Economic Development</t>
  </si>
  <si>
    <t>Roads, Hwys, &amp; Bridges</t>
  </si>
  <si>
    <t>Consolidated Barrick</t>
  </si>
  <si>
    <t>Legacy Barrick</t>
  </si>
  <si>
    <t>Argentina</t>
  </si>
  <si>
    <t>Veladero</t>
  </si>
  <si>
    <t>Lama</t>
  </si>
  <si>
    <t>Exploration</t>
  </si>
  <si>
    <t>Chile</t>
  </si>
  <si>
    <t>Pascua</t>
  </si>
  <si>
    <t>Alturas</t>
  </si>
  <si>
    <t>Office - Santiago</t>
  </si>
  <si>
    <t>Closure</t>
  </si>
  <si>
    <t>Canada</t>
  </si>
  <si>
    <t>Hemlo</t>
  </si>
  <si>
    <t>Office - Toronto</t>
  </si>
  <si>
    <t>AuTec</t>
  </si>
  <si>
    <t>United States</t>
  </si>
  <si>
    <t>Barrick Nevada</t>
  </si>
  <si>
    <t>Turquoise Ridge</t>
  </si>
  <si>
    <t>Western 102 Power Plant</t>
  </si>
  <si>
    <t>Office - Henderson</t>
  </si>
  <si>
    <t>Donlin</t>
  </si>
  <si>
    <t>Golden Sunlight</t>
  </si>
  <si>
    <t>Office - Other</t>
  </si>
  <si>
    <t>Dominican Republic</t>
  </si>
  <si>
    <t>Pueblo Viejo</t>
  </si>
  <si>
    <t>Peru</t>
  </si>
  <si>
    <t>Lagunas Norte</t>
  </si>
  <si>
    <t>Pierina</t>
  </si>
  <si>
    <t>Office - Lima</t>
  </si>
  <si>
    <t>Saudi Arabia</t>
  </si>
  <si>
    <t>Jabal Sayid</t>
  </si>
  <si>
    <t>Zambia</t>
  </si>
  <si>
    <t>Lumwana</t>
  </si>
  <si>
    <t>Papua New Guinea</t>
  </si>
  <si>
    <t>Porgera</t>
  </si>
  <si>
    <t>Former Randgold</t>
  </si>
  <si>
    <t>Mali</t>
  </si>
  <si>
    <t>Loulo-Gounkoto</t>
  </si>
  <si>
    <t>Morila</t>
  </si>
  <si>
    <t>Cote d'Ivoire</t>
  </si>
  <si>
    <t>Tongon</t>
  </si>
  <si>
    <t>Democratic Republic of Congo</t>
  </si>
  <si>
    <t>Kibali</t>
  </si>
  <si>
    <t>Workforce</t>
  </si>
  <si>
    <t>Employees</t>
  </si>
  <si>
    <t xml:space="preserve">Contractors   </t>
  </si>
  <si>
    <t>Full-time employees</t>
  </si>
  <si>
    <t>Part-time employees</t>
  </si>
  <si>
    <t>Fixed term full-time employees</t>
  </si>
  <si>
    <t>Fixed term part-time employees</t>
  </si>
  <si>
    <t>Casual employees</t>
  </si>
  <si>
    <t>Male</t>
  </si>
  <si>
    <t>Female</t>
  </si>
  <si>
    <t>Total Workforce</t>
  </si>
  <si>
    <t>Total Employees</t>
  </si>
  <si>
    <t>Total Contractors</t>
  </si>
  <si>
    <t>Fixed term part-time - Male</t>
  </si>
  <si>
    <t>Fixed term part-time - Female</t>
  </si>
  <si>
    <t>Number of Casual Employees - Male</t>
  </si>
  <si>
    <t>Number of Caual Employees - Female</t>
  </si>
  <si>
    <t>El Indio</t>
  </si>
  <si>
    <t>Barrick Nevada - Cortez</t>
  </si>
  <si>
    <t>Barrick Nevada - Goldrush</t>
  </si>
  <si>
    <t>Barrick Nevada - Goldstrike</t>
  </si>
  <si>
    <t>Office - Elko</t>
  </si>
  <si>
    <t xml:space="preserve">Donlin </t>
  </si>
  <si>
    <t>Note:</t>
  </si>
  <si>
    <t>The male to female split is not available for contractors in the USA or Canada. As the majority of contractors are male in these countires, the total male to female ratio for contractors at Barrick has been estimated accordingly.</t>
  </si>
  <si>
    <t>Contractors</t>
  </si>
  <si>
    <t>Senior Site Leaders</t>
  </si>
  <si>
    <t xml:space="preserve">Local </t>
  </si>
  <si>
    <t xml:space="preserve">Regional </t>
  </si>
  <si>
    <t xml:space="preserve">National </t>
  </si>
  <si>
    <t xml:space="preserve">Foreign National </t>
  </si>
  <si>
    <t>-</t>
  </si>
  <si>
    <t>n/a</t>
  </si>
  <si>
    <t>Notes:</t>
  </si>
  <si>
    <t xml:space="preserve">Local and regional data not available for contractors at the former Randgold sites. Regional data only applicable at certain locations. Senior site leadership data only applicalbe at operational mines. Senior site leadership at Barrick Nevada reported as Goldstrike. </t>
  </si>
  <si>
    <t xml:space="preserve"> </t>
  </si>
  <si>
    <t>New employee hires</t>
  </si>
  <si>
    <t>Employees who leave the organization voluntarily</t>
  </si>
  <si>
    <t xml:space="preserve">Employees who leave the oraganization due to dismissal </t>
  </si>
  <si>
    <t>Total turnover</t>
  </si>
  <si>
    <t xml:space="preserve">Exploration </t>
  </si>
  <si>
    <t>Exploration - Chile</t>
  </si>
  <si>
    <t>Exploration - USA</t>
  </si>
  <si>
    <t>Total Workforce Injuries</t>
  </si>
  <si>
    <t>Employee Injuries</t>
  </si>
  <si>
    <t>Contractor Injuries</t>
  </si>
  <si>
    <t>Fatalities</t>
  </si>
  <si>
    <t>Fatality Rate</t>
  </si>
  <si>
    <t>Total Reportable Injuries</t>
  </si>
  <si>
    <t>Total Reportable Injury Frequency Rate</t>
  </si>
  <si>
    <t>Loss Time Injuries</t>
  </si>
  <si>
    <t>Loss Time Injury Frequency Rate</t>
  </si>
  <si>
    <t>Restricted Duty Injuries</t>
  </si>
  <si>
    <t>Restricted Duty Injury Frequency Rate</t>
  </si>
  <si>
    <t>Medical Treatment Injuries</t>
  </si>
  <si>
    <t>Medical Treatment Injury Frequency Rate</t>
  </si>
  <si>
    <t xml:space="preserve">Occupational Disease Cases </t>
  </si>
  <si>
    <t>Hours Worked</t>
  </si>
  <si>
    <t>Hours Worked (thousands)</t>
  </si>
  <si>
    <t>Projects</t>
  </si>
  <si>
    <t>Rates are based on one million hours worked, a change from the methodology used in previous reports.</t>
  </si>
  <si>
    <t>Intensity</t>
  </si>
  <si>
    <t>Various</t>
  </si>
  <si>
    <t>Renewable Energy Use</t>
  </si>
  <si>
    <t>GRI 303</t>
  </si>
  <si>
    <t>High Quality</t>
  </si>
  <si>
    <t>Low Quality</t>
  </si>
  <si>
    <t>denominators for intensity metrics</t>
  </si>
  <si>
    <t>Precipitation and Runoff</t>
  </si>
  <si>
    <t>Rivers and Streams</t>
  </si>
  <si>
    <t>External Surface Water Storages</t>
  </si>
  <si>
    <t>Aquifer Interception</t>
  </si>
  <si>
    <t xml:space="preserve">Bore Fields </t>
  </si>
  <si>
    <t>Entrainment</t>
  </si>
  <si>
    <t>Municipal</t>
  </si>
  <si>
    <t>Waste Water</t>
  </si>
  <si>
    <t>Total High Quality</t>
  </si>
  <si>
    <t>Bore Fields</t>
  </si>
  <si>
    <t>Sea / Ocean</t>
  </si>
  <si>
    <t>Total Withdrawal</t>
  </si>
  <si>
    <t>Change in Storage</t>
  </si>
  <si>
    <t>Diversion</t>
  </si>
  <si>
    <t>Surface Water</t>
  </si>
  <si>
    <t>Environmental Flows</t>
  </si>
  <si>
    <t>Seepage</t>
  </si>
  <si>
    <t>Reinjection</t>
  </si>
  <si>
    <t>Estuary</t>
  </si>
  <si>
    <t>Sea/Ocean</t>
  </si>
  <si>
    <t>Supply to third party</t>
  </si>
  <si>
    <t>Discharge to Estuary</t>
  </si>
  <si>
    <t>Discharge to Sea/Ocean</t>
  </si>
  <si>
    <t>Evaporation</t>
  </si>
  <si>
    <t>Consumption - High</t>
  </si>
  <si>
    <t>Consumption</t>
  </si>
  <si>
    <t>Total Consumption</t>
  </si>
  <si>
    <t>Resused or Recycled Water</t>
  </si>
  <si>
    <t>Efficiency</t>
  </si>
  <si>
    <t>Withdrawal Intensity (ML / ounce of gold produced)</t>
  </si>
  <si>
    <t>Withdrawal Intensity (ML / tonne ore processed)</t>
  </si>
  <si>
    <t>Consumption Intensity (ML/ ounce of gold produced)</t>
  </si>
  <si>
    <t>Consumption Intensity (ML/ tonne)</t>
  </si>
  <si>
    <t>Yes</t>
  </si>
  <si>
    <t>Units</t>
  </si>
  <si>
    <t>ML</t>
  </si>
  <si>
    <t>%</t>
  </si>
  <si>
    <t>ML/ounce</t>
  </si>
  <si>
    <t>ML/tonne ore processed</t>
  </si>
  <si>
    <t>ML/ ounce</t>
  </si>
  <si>
    <t>Ounces of Gold Produced (Ounces)</t>
  </si>
  <si>
    <t>Pounds of Copper Produced (lb)</t>
  </si>
  <si>
    <t>Tonnes of Ore Processed (tonne)</t>
  </si>
  <si>
    <t xml:space="preserve">Closure </t>
  </si>
  <si>
    <t xml:space="preserve">Chile </t>
  </si>
  <si>
    <t>Efficiency is calculated as the total volume of both untreated and treated water used in tasks  which has already been worked by the site (ie previously used and recovered) as a percentage (%) of the total volume of all water used in tasks (ML). Calculations for  country-level and group-level efficiency include volumes of water withdrawn at closure sites. Group level efficiency at operational sites is 64% and 84% at operational sites in water stressed areas.</t>
  </si>
  <si>
    <t xml:space="preserve"> Lumwana and Jabal Sayid are copper mines and, as such, their water intensity metrics are not directly comparable to Barrick's other properties. Data for these properties are provided in ML/thousand pounds of copper. The intensity total per ounce of gold produced for Barrick does not include water withdrawn or consumed at the copper mines.</t>
  </si>
  <si>
    <t>Energy Intensity</t>
  </si>
  <si>
    <t>GRI 302-1; 302-3</t>
  </si>
  <si>
    <t>Total Energy consumption</t>
  </si>
  <si>
    <t>Renewable Electricity Use</t>
  </si>
  <si>
    <t>Renewable Fuel Use</t>
  </si>
  <si>
    <t>Non-Renewable Electricity Use</t>
  </si>
  <si>
    <t>Non-Renewable Fuel Use</t>
  </si>
  <si>
    <t>Percentage renewable energy</t>
  </si>
  <si>
    <t>GJ</t>
  </si>
  <si>
    <t>GJ/ounce of gold produced</t>
  </si>
  <si>
    <t>GJ/tonne processed</t>
  </si>
  <si>
    <t>oz</t>
  </si>
  <si>
    <t>lb</t>
  </si>
  <si>
    <t>tonnes</t>
  </si>
  <si>
    <t xml:space="preserve">Dominican Republic </t>
  </si>
  <si>
    <t>Mali Ancillary Properties</t>
  </si>
  <si>
    <t>Cote d'Ivoire Ancillary Properties</t>
  </si>
  <si>
    <t>Congo Ancillary Properties</t>
  </si>
  <si>
    <t>Other Former Randgold Ancillary Properties</t>
  </si>
  <si>
    <t xml:space="preserve"> Lumwana and Jabal Sayid are copper mines and, as such, their energy intensity metrics are not directly comparable to Barrick's other properties. Data for these properties are provided in GJ/thousand pounds of copper. The intensity total per ounce of gold produced for Barrick does not include energy used at the copper mines.</t>
  </si>
  <si>
    <t>Greenhouse gas emissions</t>
  </si>
  <si>
    <t>Greenhouse gas emissions intensity</t>
  </si>
  <si>
    <t>GRI 305-1; 305-2; 305-3; 305-4</t>
  </si>
  <si>
    <t xml:space="preserve">Direct (Scope 1) </t>
  </si>
  <si>
    <t>Indirect (scope 2)  - location based</t>
  </si>
  <si>
    <t>Indirect (scope 2) - market based</t>
  </si>
  <si>
    <t xml:space="preserve">Other indirect (scope 3) </t>
  </si>
  <si>
    <t>Total  (Scope 1 and Scope 2 - location based)</t>
  </si>
  <si>
    <t>Emissions intensity</t>
  </si>
  <si>
    <t>tonnes CO2e</t>
  </si>
  <si>
    <t>tonnes CO2e / ounce of gold produced</t>
  </si>
  <si>
    <t>tonnes CO2e /  tonne ore processed</t>
  </si>
  <si>
    <t xml:space="preserve">Lumwana and Jabal Sayid are copper mines and, as such, their GHG intensity metrics are not directly comparable to Barrick's other properties. Data for these properties are provided in tCO2e/ thousand pounds of copper. The total GHG intensity for Barrick per ounce of gold produced does not include emissions from the copper mines.
</t>
  </si>
  <si>
    <t xml:space="preserve">Scope 3 greenhouse gas emissions for legacy Barrick include fuel and energy related activities and head office business travel. Scope 3 greenhouse gas emissions for former Randgold sites include upstream transporation and distribution, purchased goods and services and business travel. </t>
  </si>
  <si>
    <t xml:space="preserve">Nitrogen oxides (NOx), sulfur oxides (SOx), and other significant air emissions </t>
  </si>
  <si>
    <t>Mercury air emissions</t>
  </si>
  <si>
    <t xml:space="preserve">Nitogen oxides (NOx) air emissions </t>
  </si>
  <si>
    <t>Particulate (PM10) air emissions</t>
  </si>
  <si>
    <t>Sulfur dioxide (SO2) air emissions</t>
  </si>
  <si>
    <t xml:space="preserve">Peru </t>
  </si>
  <si>
    <t xml:space="preserve">Saudi Arabia </t>
  </si>
  <si>
    <t xml:space="preserve">United States </t>
  </si>
  <si>
    <t>Air emissions data only includes sites where reporting is required by government regulation. It does not include certain legacy Barrick properties or the former Randgold sites.</t>
  </si>
  <si>
    <t>Mine Waste</t>
  </si>
  <si>
    <t>Tailings material deposited</t>
  </si>
  <si>
    <t>Waste rock deposited</t>
  </si>
  <si>
    <t>Waste rock mined</t>
  </si>
  <si>
    <t>Proportion of waste that is potentially geochemically reactive</t>
  </si>
  <si>
    <t>Mercury produced as a by-product</t>
  </si>
  <si>
    <t xml:space="preserve">Argentina </t>
  </si>
  <si>
    <t>Materials Use</t>
  </si>
  <si>
    <t>Calcium Hydroxide (Lime) Use</t>
  </si>
  <si>
    <t>Cyanide Use</t>
  </si>
  <si>
    <t>Consolidated Water Stressed Areas</t>
  </si>
  <si>
    <t>Consolidated Operations</t>
  </si>
  <si>
    <t>Pierina*</t>
  </si>
  <si>
    <t>Barrick Nevada - Cortez*</t>
  </si>
  <si>
    <t>Barrick Nevada - Goldstrike*</t>
  </si>
  <si>
    <t>Jabal Sayid*</t>
  </si>
  <si>
    <t>Turquoise Ridge*</t>
  </si>
  <si>
    <t>Golden Sunlight*</t>
  </si>
  <si>
    <t>*</t>
  </si>
  <si>
    <t>Mines located in water stressed areas</t>
  </si>
  <si>
    <t>PJV</t>
  </si>
  <si>
    <t>Context</t>
  </si>
  <si>
    <t>Catchment</t>
  </si>
  <si>
    <t>Taguas River Basin</t>
  </si>
  <si>
    <t>St. Lawrence</t>
  </si>
  <si>
    <t>Margajita River</t>
  </si>
  <si>
    <t>Chicama River / Amazonas River</t>
  </si>
  <si>
    <t>Santa River</t>
  </si>
  <si>
    <t>none</t>
  </si>
  <si>
    <t>Humboldt River</t>
  </si>
  <si>
    <t>Missouri</t>
  </si>
  <si>
    <t>Zambezi</t>
  </si>
  <si>
    <t>Porgera - Lagaip - Strickland - Fly</t>
  </si>
  <si>
    <t>Faleme</t>
  </si>
  <si>
    <t>Bagoe</t>
  </si>
  <si>
    <t>Bandama</t>
  </si>
  <si>
    <t>Climate conditions</t>
  </si>
  <si>
    <t>Moderate Precipitation with distinct dry season</t>
  </si>
  <si>
    <t>Moderate precipitation</t>
  </si>
  <si>
    <t>Moderate precipiation with distinct dry season</t>
  </si>
  <si>
    <t>Arid</t>
  </si>
  <si>
    <t>Semi-arid</t>
  </si>
  <si>
    <t>Very high precipitation and/or frequent major storm events.</t>
  </si>
  <si>
    <t>Arid or semi-arid environment</t>
  </si>
  <si>
    <t>Moderate precipitation with distinct dry season</t>
  </si>
  <si>
    <t>Very high precipitation and/or frequent major storm events</t>
  </si>
  <si>
    <t>Main operational activities</t>
  </si>
  <si>
    <t>Dust Suppresion</t>
  </si>
  <si>
    <t>Ore processing</t>
  </si>
  <si>
    <t>Dust control</t>
  </si>
  <si>
    <t>Dewatering</t>
  </si>
  <si>
    <t>Discharge</t>
  </si>
  <si>
    <t>Reprocessing TSF</t>
  </si>
  <si>
    <t>Water treatment</t>
  </si>
  <si>
    <t>Ore separation</t>
  </si>
  <si>
    <t>Tailings management</t>
  </si>
  <si>
    <t>Tailings Management</t>
  </si>
  <si>
    <t>Ore Seperation</t>
  </si>
  <si>
    <t>Significant water diversion</t>
  </si>
  <si>
    <t>Catchment stress</t>
  </si>
  <si>
    <t>Baseline catchment stress</t>
  </si>
  <si>
    <t>2. Low Risk</t>
  </si>
  <si>
    <t>1. Very low risk</t>
  </si>
  <si>
    <t>3. Moderate risk</t>
  </si>
  <si>
    <t>2. Low risk</t>
  </si>
  <si>
    <t>4. High risk</t>
  </si>
  <si>
    <t>5. Very high risk</t>
  </si>
  <si>
    <t>3. Moderate Risk</t>
  </si>
  <si>
    <t>Assessment method</t>
  </si>
  <si>
    <t>WWF Water Risk Filter</t>
  </si>
  <si>
    <t>WWF Water Risk Filter*</t>
  </si>
  <si>
    <t>Site risk</t>
  </si>
  <si>
    <t>4. High Risk</t>
  </si>
  <si>
    <t>3. Medium</t>
  </si>
  <si>
    <t>Primary risk type</t>
  </si>
  <si>
    <t>Reputational</t>
  </si>
  <si>
    <t>Physical</t>
  </si>
  <si>
    <t>Regulatory</t>
  </si>
  <si>
    <t>Secondary risk type</t>
  </si>
  <si>
    <t>Company Specfic</t>
  </si>
  <si>
    <t>Company Specific</t>
  </si>
  <si>
    <t>Site opportunity</t>
  </si>
  <si>
    <t>Overall level</t>
  </si>
  <si>
    <t>2. Low</t>
  </si>
  <si>
    <t>4. High</t>
  </si>
  <si>
    <t>3. Moderate</t>
  </si>
  <si>
    <t>1. Very low</t>
  </si>
  <si>
    <t>4. high</t>
  </si>
  <si>
    <t>Operations</t>
  </si>
  <si>
    <t>Operational</t>
  </si>
  <si>
    <t>Company specific</t>
  </si>
  <si>
    <t>ICMM Disclosure Statement</t>
  </si>
  <si>
    <t>Main opportunity type</t>
  </si>
  <si>
    <t xml:space="preserve">Adjusted based on company-specific understanding of local conditions. </t>
  </si>
  <si>
    <t>WWF Water Risk Filter^</t>
  </si>
  <si>
    <t>^</t>
  </si>
  <si>
    <t xml:space="preserve">Note: </t>
  </si>
  <si>
    <t>Please note that the basis for preparation and disclosure of this information may differ from methodologies used by Barrick for other purposes, such as our ESTMA report. Some totals may not sum due to rounding.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</si>
</sst>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 #,##0.00_-;\-* #,##0.00_-;_-* &quot;-&quot;??_-;_-@_-"/>
    <numFmt numFmtId="166" formatCode="_(* #,##0.0000_);_(* \(#,##0.0000\);_(* &quot;-&quot;??_);_(@_)"/>
    <numFmt numFmtId="167" formatCode="_(* #,##0.0_);_(* \(#,##0.0\);_(* &quot;-&quot;??_);_(@_)"/>
    <numFmt numFmtId="168" formatCode="#,##0,&quot;,000&quot;"/>
    <numFmt numFmtId="169" formatCode="_(* #,##0.000_);_(* \(#,##0.000\);_(* &quot;-&quot;_);_(@_)"/>
    <numFmt numFmtId="170" formatCode="&quot;$&quot;\ #,##0,&quot;,000&quot;"/>
    <numFmt numFmtId="171" formatCode="_ * #,##0.00_ ;_ * \-#,##0.00_ ;_ * &quot;-&quot;??_ ;_ @_ "/>
    <numFmt numFmtId="172" formatCode="_(* #,##0.00000_);_(* \(#,##0.00000\);_(* &quot;-&quot;??_);_(@_)"/>
    <numFmt numFmtId="173" formatCode="_-* #,##0_-;\-* #,##0_-;_-* &quot;-&quot;??_-;_-@_-"/>
  </numFmts>
  <fonts count="23" x14ac:knownFonts="1">
    <font>
      <sz val="11"/>
      <color theme="1"/>
      <name val="Calibri"/>
      <family val="2"/>
      <scheme val="minor"/>
    </font>
    <font>
      <sz val="11"/>
      <color theme="1"/>
      <name val="Calibri"/>
      <family val="2"/>
      <scheme val="minor"/>
    </font>
    <font>
      <sz val="11"/>
      <name val="Calibri"/>
      <family val="2"/>
      <scheme val="minor"/>
    </font>
    <font>
      <b/>
      <sz val="10"/>
      <color theme="1"/>
      <name val="Arial"/>
      <family val="2"/>
    </font>
    <font>
      <sz val="11"/>
      <color rgb="FF006100"/>
      <name val="Calibri"/>
      <family val="2"/>
      <scheme val="minor"/>
    </font>
    <font>
      <sz val="10"/>
      <color theme="1"/>
      <name val="Arial"/>
      <family val="2"/>
    </font>
    <font>
      <sz val="9"/>
      <color theme="1"/>
      <name val="Arial"/>
      <family val="2"/>
    </font>
    <font>
      <b/>
      <sz val="9"/>
      <color theme="1"/>
      <name val="Arial"/>
      <family val="2"/>
    </font>
    <font>
      <sz val="9"/>
      <color rgb="FF006100"/>
      <name val="Arial"/>
      <family val="2"/>
    </font>
    <font>
      <sz val="9"/>
      <name val="Arial"/>
      <family val="2"/>
    </font>
    <font>
      <b/>
      <sz val="9"/>
      <color rgb="FF006100"/>
      <name val="Arial"/>
      <family val="2"/>
    </font>
    <font>
      <b/>
      <sz val="9"/>
      <name val="Arial"/>
      <family val="2"/>
    </font>
    <font>
      <sz val="9"/>
      <color rgb="FF000000"/>
      <name val="Arial"/>
      <family val="2"/>
    </font>
    <font>
      <i/>
      <sz val="9"/>
      <name val="Arial"/>
      <family val="2"/>
    </font>
    <font>
      <u/>
      <sz val="11"/>
      <color theme="10"/>
      <name val="Calibri"/>
      <family val="2"/>
      <scheme val="minor"/>
    </font>
    <font>
      <b/>
      <sz val="10"/>
      <name val="Arial"/>
      <family val="2"/>
    </font>
    <font>
      <sz val="10"/>
      <name val="Arial"/>
      <family val="2"/>
    </font>
    <font>
      <u/>
      <sz val="10"/>
      <name val="Arial"/>
      <family val="2"/>
    </font>
    <font>
      <sz val="11"/>
      <color theme="1"/>
      <name val="Arial"/>
      <family val="2"/>
    </font>
    <font>
      <sz val="11"/>
      <name val="Arial"/>
      <family val="2"/>
    </font>
    <font>
      <b/>
      <sz val="11"/>
      <color theme="1"/>
      <name val="Arial"/>
      <family val="2"/>
    </font>
    <font>
      <b/>
      <sz val="11"/>
      <name val="Arial"/>
      <family val="2"/>
    </font>
    <font>
      <b/>
      <sz val="11"/>
      <color rgb="FFFF0000"/>
      <name val="Arial"/>
      <family val="2"/>
    </font>
  </fonts>
  <fills count="8">
    <fill>
      <patternFill patternType="none"/>
    </fill>
    <fill>
      <patternFill patternType="gray125"/>
    </fill>
    <fill>
      <patternFill patternType="darkDown">
        <bgColor auto="1"/>
      </patternFill>
    </fill>
    <fill>
      <patternFill patternType="solid">
        <fgColor rgb="FFC6EFCE"/>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right/>
      <top style="thin">
        <color auto="1"/>
      </top>
      <bottom style="thin">
        <color auto="1"/>
      </bottom>
      <diagonal/>
    </border>
    <border>
      <left style="thin">
        <color auto="1"/>
      </left>
      <right style="thin">
        <color auto="1"/>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bottom/>
      <diagonal/>
    </border>
    <border>
      <left/>
      <right style="thin">
        <color auto="1"/>
      </right>
      <top/>
      <bottom/>
      <diagonal/>
    </border>
    <border>
      <left style="medium">
        <color indexed="64"/>
      </left>
      <right style="thin">
        <color auto="1"/>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auto="1"/>
      </left>
      <right style="thin">
        <color indexed="64"/>
      </right>
      <top/>
      <bottom style="medium">
        <color indexed="64"/>
      </bottom>
      <diagonal/>
    </border>
    <border>
      <left style="thin">
        <color auto="1"/>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thin">
        <color indexed="64"/>
      </top>
      <bottom/>
      <diagonal/>
    </border>
    <border>
      <left style="medium">
        <color indexed="64"/>
      </left>
      <right/>
      <top style="thin">
        <color indexed="64"/>
      </top>
      <bottom/>
      <diagonal/>
    </border>
    <border>
      <left style="thin">
        <color auto="1"/>
      </left>
      <right style="medium">
        <color indexed="64"/>
      </right>
      <top/>
      <bottom/>
      <diagonal/>
    </border>
    <border>
      <left style="thin">
        <color auto="1"/>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s>
  <cellStyleXfs count="62">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2" borderId="0">
      <alignment vertical="top"/>
    </xf>
    <xf numFmtId="0" fontId="4" fillId="3" borderId="0" applyNumberFormat="0" applyBorder="0" applyAlignment="0" applyProtection="0"/>
    <xf numFmtId="165" fontId="1" fillId="0" borderId="0" applyFont="0" applyFill="0" applyBorder="0" applyAlignment="0" applyProtection="0"/>
    <xf numFmtId="0" fontId="5" fillId="0" borderId="0"/>
    <xf numFmtId="9" fontId="5" fillId="0" borderId="0" applyFont="0" applyFill="0" applyBorder="0" applyAlignment="0" applyProtection="0"/>
    <xf numFmtId="44" fontId="5" fillId="0" borderId="0" applyFont="0" applyFill="0" applyBorder="0" applyAlignment="0" applyProtection="0"/>
    <xf numFmtId="42"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4" fillId="0" borderId="0" applyNumberFormat="0" applyFill="0" applyBorder="0" applyAlignment="0" applyProtection="0"/>
    <xf numFmtId="0" fontId="1" fillId="0" borderId="0"/>
    <xf numFmtId="171" fontId="16" fillId="0" borderId="0" applyFont="0" applyFill="0" applyBorder="0" applyAlignment="0" applyProtection="0"/>
  </cellStyleXfs>
  <cellXfs count="877">
    <xf numFmtId="0" fontId="0" fillId="0" borderId="0" xfId="0"/>
    <xf numFmtId="9" fontId="3" fillId="4" borderId="12" xfId="3" applyFont="1" applyFill="1" applyBorder="1" applyAlignment="1">
      <alignment horizontal="center" vertical="center"/>
    </xf>
    <xf numFmtId="9" fontId="3" fillId="5" borderId="12" xfId="3" applyFont="1" applyFill="1" applyBorder="1" applyAlignment="1">
      <alignment horizontal="center" vertical="center"/>
    </xf>
    <xf numFmtId="0" fontId="3" fillId="4" borderId="0" xfId="0" applyFont="1" applyFill="1" applyBorder="1" applyAlignment="1">
      <alignment horizontal="right" vertical="center"/>
    </xf>
    <xf numFmtId="0" fontId="3" fillId="5" borderId="0" xfId="0" applyFont="1" applyFill="1" applyBorder="1" applyAlignment="1">
      <alignment horizontal="right" vertical="center"/>
    </xf>
    <xf numFmtId="0" fontId="3" fillId="6" borderId="0" xfId="0" applyFont="1" applyFill="1" applyBorder="1" applyAlignment="1">
      <alignment horizontal="right" vertical="center"/>
    </xf>
    <xf numFmtId="0" fontId="3" fillId="6" borderId="0" xfId="0" applyFont="1" applyFill="1" applyBorder="1" applyAlignment="1">
      <alignment horizontal="right" vertical="center" wrapText="1"/>
    </xf>
    <xf numFmtId="0" fontId="6" fillId="0" borderId="0" xfId="0" applyFont="1" applyFill="1" applyBorder="1"/>
    <xf numFmtId="0" fontId="6" fillId="0" borderId="0" xfId="0" applyFont="1" applyFill="1" applyBorder="1" applyAlignment="1">
      <alignment wrapText="1"/>
    </xf>
    <xf numFmtId="9" fontId="6" fillId="0" borderId="0" xfId="3" applyFont="1" applyFill="1" applyBorder="1" applyAlignment="1">
      <alignment wrapText="1"/>
    </xf>
    <xf numFmtId="0" fontId="7" fillId="0" borderId="0" xfId="0" applyFont="1" applyFill="1" applyBorder="1"/>
    <xf numFmtId="164" fontId="6" fillId="0" borderId="0" xfId="1" applyNumberFormat="1" applyFont="1" applyFill="1" applyBorder="1"/>
    <xf numFmtId="9" fontId="6" fillId="0" borderId="0" xfId="3" applyFont="1" applyFill="1" applyBorder="1"/>
    <xf numFmtId="0" fontId="6" fillId="0" borderId="0" xfId="0" applyFont="1" applyFill="1" applyBorder="1" applyAlignment="1">
      <alignment horizontal="right"/>
    </xf>
    <xf numFmtId="164" fontId="6" fillId="0" borderId="0" xfId="1" applyNumberFormat="1" applyFont="1" applyFill="1" applyBorder="1" applyAlignment="1">
      <alignment horizontal="center"/>
    </xf>
    <xf numFmtId="9" fontId="6" fillId="0" borderId="0" xfId="3" applyFont="1" applyFill="1" applyBorder="1" applyAlignment="1">
      <alignment horizontal="center"/>
    </xf>
    <xf numFmtId="0" fontId="6" fillId="0" borderId="0" xfId="0" applyFont="1" applyFill="1" applyBorder="1" applyAlignment="1">
      <alignment horizontal="center"/>
    </xf>
    <xf numFmtId="9" fontId="3" fillId="4" borderId="7" xfId="3" applyFont="1" applyFill="1" applyBorder="1" applyAlignment="1">
      <alignment horizontal="center" vertical="center"/>
    </xf>
    <xf numFmtId="9" fontId="3" fillId="5" borderId="7" xfId="3" applyFont="1" applyFill="1" applyBorder="1" applyAlignment="1">
      <alignment horizontal="center" vertical="center"/>
    </xf>
    <xf numFmtId="9" fontId="3" fillId="6" borderId="7" xfId="3" applyFont="1" applyFill="1" applyBorder="1" applyAlignment="1">
      <alignment horizontal="center" vertical="center"/>
    </xf>
    <xf numFmtId="9" fontId="6" fillId="0" borderId="7" xfId="3" applyFont="1" applyFill="1" applyBorder="1" applyAlignment="1">
      <alignment horizontal="center" vertical="top" wrapText="1"/>
    </xf>
    <xf numFmtId="9" fontId="6" fillId="0" borderId="10" xfId="3" applyFont="1" applyFill="1" applyBorder="1" applyAlignment="1">
      <alignment horizontal="center" vertical="top" wrapText="1"/>
    </xf>
    <xf numFmtId="164" fontId="6" fillId="0" borderId="13" xfId="1" applyNumberFormat="1" applyFont="1" applyFill="1" applyBorder="1" applyAlignment="1">
      <alignment horizontal="center"/>
    </xf>
    <xf numFmtId="9" fontId="3" fillId="6" borderId="12" xfId="3" applyFont="1" applyFill="1" applyBorder="1" applyAlignment="1">
      <alignment horizontal="center" vertical="center"/>
    </xf>
    <xf numFmtId="9" fontId="6" fillId="0" borderId="12" xfId="3" applyFont="1" applyFill="1" applyBorder="1" applyAlignment="1">
      <alignment horizontal="center"/>
    </xf>
    <xf numFmtId="9" fontId="6" fillId="0" borderId="15" xfId="3" applyFont="1" applyFill="1" applyBorder="1" applyAlignment="1">
      <alignment horizontal="center"/>
    </xf>
    <xf numFmtId="164" fontId="6" fillId="0" borderId="11" xfId="1" applyNumberFormat="1" applyFont="1" applyFill="1" applyBorder="1" applyAlignment="1">
      <alignment horizontal="center"/>
    </xf>
    <xf numFmtId="9" fontId="6" fillId="0" borderId="7" xfId="3" applyFont="1" applyFill="1" applyBorder="1" applyAlignment="1">
      <alignment vertical="top" wrapText="1"/>
    </xf>
    <xf numFmtId="0" fontId="6" fillId="0" borderId="0" xfId="0" applyFont="1" applyFill="1" applyBorder="1" applyAlignment="1"/>
    <xf numFmtId="9" fontId="6" fillId="0" borderId="10" xfId="3" applyFont="1" applyFill="1" applyBorder="1" applyAlignment="1">
      <alignment vertical="top" wrapText="1"/>
    </xf>
    <xf numFmtId="164" fontId="7" fillId="0" borderId="23" xfId="0" applyNumberFormat="1" applyFont="1" applyFill="1" applyBorder="1" applyAlignment="1">
      <alignment horizontal="center" vertical="center" wrapText="1"/>
    </xf>
    <xf numFmtId="164" fontId="3" fillId="4" borderId="21" xfId="0" applyNumberFormat="1" applyFont="1" applyFill="1" applyBorder="1" applyAlignment="1">
      <alignment horizontal="center"/>
    </xf>
    <xf numFmtId="164" fontId="3" fillId="5" borderId="13" xfId="0" applyNumberFormat="1" applyFont="1" applyFill="1" applyBorder="1" applyAlignment="1">
      <alignment horizontal="center"/>
    </xf>
    <xf numFmtId="164" fontId="3" fillId="6" borderId="13" xfId="0" applyNumberFormat="1" applyFont="1" applyFill="1" applyBorder="1" applyAlignment="1">
      <alignment horizontal="center"/>
    </xf>
    <xf numFmtId="164" fontId="6" fillId="0" borderId="13" xfId="0" applyNumberFormat="1" applyFont="1" applyFill="1" applyBorder="1" applyAlignment="1">
      <alignment horizontal="center"/>
    </xf>
    <xf numFmtId="164" fontId="6" fillId="0" borderId="14" xfId="0" applyNumberFormat="1" applyFont="1" applyFill="1" applyBorder="1" applyAlignment="1">
      <alignment horizontal="center"/>
    </xf>
    <xf numFmtId="164" fontId="6" fillId="0" borderId="0" xfId="0" applyNumberFormat="1" applyFont="1" applyFill="1" applyBorder="1" applyAlignment="1">
      <alignment horizontal="center"/>
    </xf>
    <xf numFmtId="164" fontId="3" fillId="4" borderId="0" xfId="0" applyNumberFormat="1" applyFont="1" applyFill="1" applyBorder="1" applyAlignment="1">
      <alignment horizontal="center"/>
    </xf>
    <xf numFmtId="164" fontId="3" fillId="5" borderId="0" xfId="0" applyNumberFormat="1" applyFont="1" applyFill="1" applyBorder="1" applyAlignment="1">
      <alignment horizontal="center"/>
    </xf>
    <xf numFmtId="164" fontId="3" fillId="6" borderId="0" xfId="0" applyNumberFormat="1" applyFont="1" applyFill="1" applyBorder="1" applyAlignment="1">
      <alignment horizontal="center"/>
    </xf>
    <xf numFmtId="164" fontId="6" fillId="0" borderId="9" xfId="0" applyNumberFormat="1" applyFont="1" applyFill="1" applyBorder="1" applyAlignment="1">
      <alignment horizontal="center"/>
    </xf>
    <xf numFmtId="164" fontId="3" fillId="4" borderId="11" xfId="0" applyNumberFormat="1" applyFont="1" applyFill="1" applyBorder="1" applyAlignment="1">
      <alignment horizontal="center"/>
    </xf>
    <xf numFmtId="164" fontId="3" fillId="5" borderId="11" xfId="0" applyNumberFormat="1" applyFont="1" applyFill="1" applyBorder="1" applyAlignment="1">
      <alignment horizontal="center"/>
    </xf>
    <xf numFmtId="164" fontId="3" fillId="6" borderId="11" xfId="0" applyNumberFormat="1" applyFont="1" applyFill="1" applyBorder="1" applyAlignment="1">
      <alignment horizontal="center"/>
    </xf>
    <xf numFmtId="164" fontId="6" fillId="0" borderId="11" xfId="0" applyNumberFormat="1" applyFont="1" applyFill="1" applyBorder="1" applyAlignment="1">
      <alignment horizontal="center"/>
    </xf>
    <xf numFmtId="164" fontId="6" fillId="0" borderId="17" xfId="0" applyNumberFormat="1" applyFont="1" applyFill="1" applyBorder="1" applyAlignment="1">
      <alignment horizontal="center"/>
    </xf>
    <xf numFmtId="164" fontId="6" fillId="0" borderId="0" xfId="0" applyNumberFormat="1" applyFont="1" applyFill="1" applyBorder="1" applyAlignment="1">
      <alignment horizontal="center" wrapText="1"/>
    </xf>
    <xf numFmtId="0" fontId="7" fillId="0" borderId="0" xfId="0" applyFont="1" applyFill="1" applyBorder="1" applyAlignment="1">
      <alignment horizontal="right" vertical="center"/>
    </xf>
    <xf numFmtId="0" fontId="7" fillId="0" borderId="0" xfId="0" applyFont="1" applyFill="1" applyBorder="1" applyAlignment="1">
      <alignment vertical="center"/>
    </xf>
    <xf numFmtId="164" fontId="3" fillId="6" borderId="13" xfId="0" applyNumberFormat="1" applyFont="1" applyFill="1" applyBorder="1" applyAlignment="1">
      <alignment horizontal="right" vertical="center"/>
    </xf>
    <xf numFmtId="164" fontId="3" fillId="6" borderId="0" xfId="0" applyNumberFormat="1" applyFont="1" applyFill="1" applyBorder="1" applyAlignment="1">
      <alignment horizontal="right" vertical="center"/>
    </xf>
    <xf numFmtId="9" fontId="3" fillId="6" borderId="12" xfId="3" applyFont="1" applyFill="1" applyBorder="1" applyAlignment="1">
      <alignment horizontal="right" vertical="center"/>
    </xf>
    <xf numFmtId="164" fontId="3" fillId="6" borderId="11" xfId="0" applyNumberFormat="1" applyFont="1" applyFill="1" applyBorder="1" applyAlignment="1">
      <alignment horizontal="right" vertical="center"/>
    </xf>
    <xf numFmtId="0" fontId="6" fillId="0" borderId="0" xfId="0" applyFont="1" applyFill="1" applyBorder="1" applyAlignment="1">
      <alignment horizontal="right" vertical="center"/>
    </xf>
    <xf numFmtId="164" fontId="6" fillId="0" borderId="0" xfId="0" applyNumberFormat="1" applyFont="1" applyFill="1" applyBorder="1"/>
    <xf numFmtId="3" fontId="6" fillId="0" borderId="0" xfId="0" applyNumberFormat="1" applyFont="1" applyFill="1" applyBorder="1" applyAlignment="1">
      <alignment horizontal="center"/>
    </xf>
    <xf numFmtId="0" fontId="6" fillId="0" borderId="0" xfId="0" applyFont="1" applyFill="1" applyBorder="1" applyAlignment="1">
      <alignment horizontal="right" vertical="center" wrapText="1"/>
    </xf>
    <xf numFmtId="43" fontId="7" fillId="4" borderId="13" xfId="0" applyNumberFormat="1" applyFont="1" applyFill="1" applyBorder="1" applyAlignment="1">
      <alignment horizontal="center" vertical="center"/>
    </xf>
    <xf numFmtId="43" fontId="7" fillId="4" borderId="2" xfId="0" applyNumberFormat="1" applyFont="1" applyFill="1" applyBorder="1" applyAlignment="1">
      <alignment horizontal="center" vertical="center"/>
    </xf>
    <xf numFmtId="164" fontId="7" fillId="4" borderId="13" xfId="1" applyNumberFormat="1" applyFont="1" applyFill="1" applyBorder="1" applyAlignment="1">
      <alignment horizontal="center" vertical="center"/>
    </xf>
    <xf numFmtId="164" fontId="7" fillId="4" borderId="2" xfId="1" applyNumberFormat="1" applyFont="1" applyFill="1" applyBorder="1" applyAlignment="1">
      <alignment horizontal="center" vertical="center"/>
    </xf>
    <xf numFmtId="168" fontId="7" fillId="4" borderId="7" xfId="1" applyNumberFormat="1" applyFont="1" applyFill="1" applyBorder="1" applyAlignment="1">
      <alignment horizontal="center" vertical="center"/>
    </xf>
    <xf numFmtId="41" fontId="7" fillId="4" borderId="12" xfId="1" applyNumberFormat="1" applyFont="1" applyFill="1" applyBorder="1" applyAlignment="1">
      <alignment horizontal="center" vertical="center"/>
    </xf>
    <xf numFmtId="41" fontId="7" fillId="4" borderId="2" xfId="1" applyNumberFormat="1" applyFont="1" applyFill="1" applyBorder="1" applyAlignment="1">
      <alignment horizontal="center" vertical="center"/>
    </xf>
    <xf numFmtId="43" fontId="7" fillId="5" borderId="13" xfId="0" applyNumberFormat="1" applyFont="1" applyFill="1" applyBorder="1" applyAlignment="1">
      <alignment horizontal="center" vertical="center"/>
    </xf>
    <xf numFmtId="43" fontId="7" fillId="5" borderId="2" xfId="0" applyNumberFormat="1" applyFont="1" applyFill="1" applyBorder="1" applyAlignment="1">
      <alignment horizontal="center" vertical="center"/>
    </xf>
    <xf numFmtId="164" fontId="7" fillId="5" borderId="2" xfId="0" applyNumberFormat="1" applyFont="1" applyFill="1" applyBorder="1" applyAlignment="1">
      <alignment horizontal="center" vertical="center"/>
    </xf>
    <xf numFmtId="168" fontId="7" fillId="5" borderId="7" xfId="1" applyNumberFormat="1" applyFont="1" applyFill="1" applyBorder="1" applyAlignment="1">
      <alignment horizontal="center" vertical="center"/>
    </xf>
    <xf numFmtId="164" fontId="7" fillId="5" borderId="2" xfId="1" applyNumberFormat="1" applyFont="1" applyFill="1" applyBorder="1" applyAlignment="1">
      <alignment horizontal="center" vertical="center"/>
    </xf>
    <xf numFmtId="41" fontId="7" fillId="5" borderId="12" xfId="1" applyNumberFormat="1" applyFont="1" applyFill="1" applyBorder="1" applyAlignment="1">
      <alignment horizontal="center" vertical="center"/>
    </xf>
    <xf numFmtId="41" fontId="7" fillId="5" borderId="2" xfId="1" applyNumberFormat="1" applyFont="1" applyFill="1" applyBorder="1" applyAlignment="1">
      <alignment horizontal="center" vertical="center"/>
    </xf>
    <xf numFmtId="43" fontId="6" fillId="6" borderId="13" xfId="0" applyNumberFormat="1" applyFont="1" applyFill="1" applyBorder="1" applyAlignment="1">
      <alignment horizontal="center" vertical="center"/>
    </xf>
    <xf numFmtId="43" fontId="6" fillId="6" borderId="2" xfId="0" applyNumberFormat="1" applyFont="1" applyFill="1" applyBorder="1" applyAlignment="1">
      <alignment horizontal="center" vertical="center"/>
    </xf>
    <xf numFmtId="164" fontId="6" fillId="6" borderId="2" xfId="0" applyNumberFormat="1" applyFont="1" applyFill="1" applyBorder="1" applyAlignment="1">
      <alignment horizontal="center" vertical="center"/>
    </xf>
    <xf numFmtId="167" fontId="6" fillId="6" borderId="2" xfId="0" applyNumberFormat="1" applyFont="1" applyFill="1" applyBorder="1" applyAlignment="1">
      <alignment horizontal="center" vertical="center"/>
    </xf>
    <xf numFmtId="168" fontId="6" fillId="6" borderId="7" xfId="0" applyNumberFormat="1" applyFont="1" applyFill="1" applyBorder="1" applyAlignment="1">
      <alignment horizontal="center" vertical="center"/>
    </xf>
    <xf numFmtId="164" fontId="6" fillId="6" borderId="2" xfId="1" applyNumberFormat="1" applyFont="1" applyFill="1" applyBorder="1" applyAlignment="1">
      <alignment horizontal="center" vertical="center"/>
    </xf>
    <xf numFmtId="168" fontId="6" fillId="6" borderId="7" xfId="1" applyNumberFormat="1" applyFont="1" applyFill="1" applyBorder="1" applyAlignment="1">
      <alignment horizontal="center" vertical="center"/>
    </xf>
    <xf numFmtId="41" fontId="6" fillId="6" borderId="12" xfId="1" applyNumberFormat="1" applyFont="1" applyFill="1" applyBorder="1" applyAlignment="1">
      <alignment horizontal="center" vertical="center"/>
    </xf>
    <xf numFmtId="41" fontId="6" fillId="6" borderId="2" xfId="1" applyNumberFormat="1" applyFont="1" applyFill="1" applyBorder="1" applyAlignment="1">
      <alignment horizontal="center" vertical="center"/>
    </xf>
    <xf numFmtId="43" fontId="6" fillId="0" borderId="0" xfId="1" applyFont="1" applyFill="1" applyBorder="1" applyAlignment="1">
      <alignment vertical="top" wrapText="1"/>
    </xf>
    <xf numFmtId="164" fontId="6" fillId="0" borderId="0" xfId="1" applyNumberFormat="1" applyFont="1" applyFill="1" applyBorder="1" applyAlignment="1">
      <alignment vertical="top" wrapText="1"/>
    </xf>
    <xf numFmtId="9" fontId="6" fillId="0" borderId="0" xfId="3" applyFont="1" applyFill="1" applyBorder="1" applyAlignment="1">
      <alignment vertical="top" wrapText="1"/>
    </xf>
    <xf numFmtId="166" fontId="6" fillId="0" borderId="0" xfId="1" applyNumberFormat="1" applyFont="1" applyFill="1" applyBorder="1" applyAlignment="1">
      <alignment vertical="top" wrapText="1"/>
    </xf>
    <xf numFmtId="43" fontId="6" fillId="0" borderId="0" xfId="1" applyFont="1" applyFill="1" applyBorder="1" applyAlignment="1">
      <alignment vertical="top"/>
    </xf>
    <xf numFmtId="43" fontId="6" fillId="0" borderId="0" xfId="1" applyFont="1" applyFill="1" applyBorder="1" applyAlignment="1">
      <alignment horizontal="left"/>
    </xf>
    <xf numFmtId="9" fontId="6" fillId="0" borderId="0" xfId="3" applyFont="1" applyFill="1" applyBorder="1" applyAlignment="1">
      <alignment vertical="top"/>
    </xf>
    <xf numFmtId="43" fontId="8" fillId="0" borderId="0" xfId="5" applyNumberFormat="1" applyFont="1" applyFill="1" applyBorder="1" applyAlignment="1">
      <alignment vertical="top" wrapText="1"/>
    </xf>
    <xf numFmtId="43" fontId="7" fillId="0" borderId="0" xfId="1" applyFont="1" applyFill="1" applyBorder="1" applyAlignment="1">
      <alignment vertical="top" wrapText="1"/>
    </xf>
    <xf numFmtId="164" fontId="6" fillId="0" borderId="0" xfId="1" applyNumberFormat="1" applyFont="1" applyFill="1" applyBorder="1" applyAlignment="1">
      <alignment vertical="top"/>
    </xf>
    <xf numFmtId="43" fontId="6" fillId="0" borderId="0" xfId="1" applyFont="1" applyFill="1" applyBorder="1"/>
    <xf numFmtId="43" fontId="7" fillId="0" borderId="0" xfId="1" applyFont="1" applyFill="1" applyBorder="1" applyAlignment="1">
      <alignment vertical="top"/>
    </xf>
    <xf numFmtId="43" fontId="9" fillId="0" borderId="0" xfId="1" applyFont="1" applyFill="1" applyBorder="1"/>
    <xf numFmtId="166" fontId="6" fillId="0" borderId="0" xfId="0" applyNumberFormat="1" applyFont="1" applyFill="1" applyBorder="1"/>
    <xf numFmtId="164" fontId="7" fillId="4" borderId="0" xfId="1" applyNumberFormat="1" applyFont="1" applyFill="1" applyBorder="1" applyAlignment="1">
      <alignment vertical="top" wrapText="1"/>
    </xf>
    <xf numFmtId="9" fontId="7" fillId="4" borderId="0" xfId="3" applyFont="1" applyFill="1" applyBorder="1" applyAlignment="1">
      <alignment vertical="top"/>
    </xf>
    <xf numFmtId="164" fontId="6" fillId="6" borderId="0" xfId="1" applyNumberFormat="1" applyFont="1" applyFill="1" applyBorder="1"/>
    <xf numFmtId="9" fontId="6" fillId="6" borderId="0" xfId="3" applyFont="1" applyFill="1" applyBorder="1" applyAlignment="1">
      <alignment vertical="top"/>
    </xf>
    <xf numFmtId="164" fontId="6" fillId="6" borderId="0" xfId="1" applyNumberFormat="1" applyFont="1" applyFill="1" applyBorder="1" applyAlignment="1">
      <alignment vertical="top"/>
    </xf>
    <xf numFmtId="164" fontId="7" fillId="5" borderId="0" xfId="1" applyNumberFormat="1" applyFont="1" applyFill="1" applyBorder="1" applyAlignment="1">
      <alignment vertical="top"/>
    </xf>
    <xf numFmtId="9" fontId="7" fillId="5" borderId="0" xfId="3" applyFont="1" applyFill="1" applyBorder="1" applyAlignment="1">
      <alignment vertical="top"/>
    </xf>
    <xf numFmtId="164" fontId="7" fillId="5" borderId="0" xfId="1" applyNumberFormat="1" applyFont="1" applyFill="1" applyBorder="1" applyAlignment="1">
      <alignment vertical="top" wrapText="1"/>
    </xf>
    <xf numFmtId="164" fontId="6" fillId="0" borderId="6" xfId="1" applyNumberFormat="1" applyFont="1" applyFill="1" applyBorder="1" applyAlignment="1">
      <alignment vertical="top" wrapText="1"/>
    </xf>
    <xf numFmtId="164" fontId="6" fillId="0" borderId="7" xfId="1" applyNumberFormat="1" applyFont="1" applyFill="1" applyBorder="1" applyAlignment="1">
      <alignment vertical="top" wrapText="1"/>
    </xf>
    <xf numFmtId="164" fontId="7" fillId="4" borderId="6" xfId="1" applyNumberFormat="1" applyFont="1" applyFill="1" applyBorder="1" applyAlignment="1">
      <alignment vertical="top" wrapText="1"/>
    </xf>
    <xf numFmtId="164" fontId="7" fillId="4" borderId="7" xfId="1" applyNumberFormat="1" applyFont="1" applyFill="1" applyBorder="1" applyAlignment="1">
      <alignment vertical="top" wrapText="1"/>
    </xf>
    <xf numFmtId="164" fontId="7" fillId="5" borderId="6" xfId="1" applyNumberFormat="1" applyFont="1" applyFill="1" applyBorder="1" applyAlignment="1">
      <alignment vertical="top" wrapText="1"/>
    </xf>
    <xf numFmtId="164" fontId="7" fillId="5" borderId="7" xfId="1" applyNumberFormat="1" applyFont="1" applyFill="1" applyBorder="1" applyAlignment="1">
      <alignment vertical="top" wrapText="1"/>
    </xf>
    <xf numFmtId="164" fontId="6" fillId="6" borderId="6" xfId="1" applyNumberFormat="1" applyFont="1" applyFill="1" applyBorder="1"/>
    <xf numFmtId="164" fontId="6" fillId="6" borderId="7" xfId="1" applyNumberFormat="1" applyFont="1" applyFill="1" applyBorder="1"/>
    <xf numFmtId="164" fontId="6" fillId="0" borderId="6" xfId="1" applyNumberFormat="1" applyFont="1" applyFill="1" applyBorder="1"/>
    <xf numFmtId="164" fontId="6" fillId="0" borderId="7" xfId="1" applyNumberFormat="1" applyFont="1" applyFill="1" applyBorder="1" applyAlignment="1">
      <alignment vertical="top"/>
    </xf>
    <xf numFmtId="164" fontId="6" fillId="6" borderId="7" xfId="1" applyNumberFormat="1" applyFont="1" applyFill="1" applyBorder="1" applyAlignment="1">
      <alignment vertical="top"/>
    </xf>
    <xf numFmtId="164" fontId="6" fillId="0" borderId="6" xfId="1" applyNumberFormat="1" applyFont="1" applyFill="1" applyBorder="1" applyAlignment="1">
      <alignment vertical="top"/>
    </xf>
    <xf numFmtId="164" fontId="6" fillId="0" borderId="7" xfId="1" applyNumberFormat="1" applyFont="1" applyFill="1" applyBorder="1"/>
    <xf numFmtId="164" fontId="7" fillId="5" borderId="6" xfId="1" applyNumberFormat="1" applyFont="1" applyFill="1" applyBorder="1" applyAlignment="1">
      <alignment vertical="top"/>
    </xf>
    <xf numFmtId="164" fontId="7" fillId="5" borderId="7" xfId="1" applyNumberFormat="1" applyFont="1" applyFill="1" applyBorder="1" applyAlignment="1">
      <alignment vertical="top"/>
    </xf>
    <xf numFmtId="164" fontId="6" fillId="6" borderId="6" xfId="1" applyNumberFormat="1" applyFont="1" applyFill="1" applyBorder="1" applyAlignment="1">
      <alignment vertical="top"/>
    </xf>
    <xf numFmtId="164" fontId="6" fillId="0" borderId="8" xfId="1" applyNumberFormat="1" applyFont="1" applyFill="1" applyBorder="1" applyAlignment="1">
      <alignment vertical="top"/>
    </xf>
    <xf numFmtId="164" fontId="6" fillId="0" borderId="9" xfId="1" applyNumberFormat="1" applyFont="1" applyFill="1" applyBorder="1" applyAlignment="1">
      <alignment vertical="top"/>
    </xf>
    <xf numFmtId="164" fontId="6" fillId="0" borderId="10" xfId="1" applyNumberFormat="1" applyFont="1" applyFill="1" applyBorder="1" applyAlignment="1">
      <alignment vertical="top"/>
    </xf>
    <xf numFmtId="166" fontId="6" fillId="0" borderId="7" xfId="1" applyNumberFormat="1" applyFont="1" applyFill="1" applyBorder="1" applyAlignment="1">
      <alignment vertical="top" wrapText="1"/>
    </xf>
    <xf numFmtId="9" fontId="6" fillId="0" borderId="9" xfId="3" applyFont="1" applyFill="1" applyBorder="1" applyAlignment="1">
      <alignment vertical="top"/>
    </xf>
    <xf numFmtId="164" fontId="6" fillId="0" borderId="12" xfId="1" applyNumberFormat="1" applyFont="1" applyFill="1" applyBorder="1" applyAlignment="1">
      <alignment vertical="top" wrapText="1"/>
    </xf>
    <xf numFmtId="164" fontId="7" fillId="4" borderId="12" xfId="1" applyNumberFormat="1" applyFont="1" applyFill="1" applyBorder="1" applyAlignment="1">
      <alignment vertical="top" wrapText="1"/>
    </xf>
    <xf numFmtId="164" fontId="7" fillId="5" borderId="12" xfId="1" applyNumberFormat="1" applyFont="1" applyFill="1" applyBorder="1" applyAlignment="1">
      <alignment vertical="top" wrapText="1"/>
    </xf>
    <xf numFmtId="164" fontId="6" fillId="6" borderId="12" xfId="1" applyNumberFormat="1" applyFont="1" applyFill="1" applyBorder="1"/>
    <xf numFmtId="164" fontId="6" fillId="0" borderId="12" xfId="1" applyNumberFormat="1" applyFont="1" applyFill="1" applyBorder="1"/>
    <xf numFmtId="164" fontId="7" fillId="5" borderId="12" xfId="1" applyNumberFormat="1" applyFont="1" applyFill="1" applyBorder="1" applyAlignment="1">
      <alignment vertical="top"/>
    </xf>
    <xf numFmtId="164" fontId="6" fillId="6" borderId="12" xfId="1" applyNumberFormat="1" applyFont="1" applyFill="1" applyBorder="1" applyAlignment="1">
      <alignment vertical="top"/>
    </xf>
    <xf numFmtId="164" fontId="6" fillId="0" borderId="12" xfId="1" applyNumberFormat="1" applyFont="1" applyFill="1" applyBorder="1" applyAlignment="1">
      <alignment vertical="top"/>
    </xf>
    <xf numFmtId="164" fontId="6" fillId="0" borderId="15" xfId="1" applyNumberFormat="1" applyFont="1" applyFill="1" applyBorder="1" applyAlignment="1">
      <alignment vertical="top"/>
    </xf>
    <xf numFmtId="164" fontId="6" fillId="0" borderId="11" xfId="1" applyNumberFormat="1" applyFont="1" applyFill="1" applyBorder="1" applyAlignment="1">
      <alignment vertical="top" wrapText="1"/>
    </xf>
    <xf numFmtId="164" fontId="7" fillId="4" borderId="11" xfId="1" applyNumberFormat="1" applyFont="1" applyFill="1" applyBorder="1" applyAlignment="1">
      <alignment vertical="top" wrapText="1"/>
    </xf>
    <xf numFmtId="164" fontId="7" fillId="5" borderId="11" xfId="1" applyNumberFormat="1" applyFont="1" applyFill="1" applyBorder="1" applyAlignment="1">
      <alignment vertical="top" wrapText="1"/>
    </xf>
    <xf numFmtId="164" fontId="6" fillId="6" borderId="11" xfId="1" applyNumberFormat="1" applyFont="1" applyFill="1" applyBorder="1"/>
    <xf numFmtId="164" fontId="6" fillId="0" borderId="11" xfId="1" applyNumberFormat="1" applyFont="1" applyFill="1" applyBorder="1" applyAlignment="1">
      <alignment vertical="top"/>
    </xf>
    <xf numFmtId="164" fontId="6" fillId="0" borderId="11" xfId="1" applyNumberFormat="1" applyFont="1" applyFill="1" applyBorder="1"/>
    <xf numFmtId="164" fontId="7" fillId="5" borderId="11" xfId="1" applyNumberFormat="1" applyFont="1" applyFill="1" applyBorder="1" applyAlignment="1">
      <alignment vertical="top"/>
    </xf>
    <xf numFmtId="164" fontId="6" fillId="6" borderId="11" xfId="1" applyNumberFormat="1" applyFont="1" applyFill="1" applyBorder="1" applyAlignment="1">
      <alignment vertical="top"/>
    </xf>
    <xf numFmtId="164" fontId="6" fillId="0" borderId="17" xfId="1" applyNumberFormat="1" applyFont="1" applyFill="1" applyBorder="1" applyAlignment="1">
      <alignment vertical="top"/>
    </xf>
    <xf numFmtId="164" fontId="6" fillId="0" borderId="2" xfId="1" applyNumberFormat="1" applyFont="1" applyFill="1" applyBorder="1" applyAlignment="1">
      <alignment vertical="top" wrapText="1"/>
    </xf>
    <xf numFmtId="164" fontId="7" fillId="4" borderId="2" xfId="1" applyNumberFormat="1" applyFont="1" applyFill="1" applyBorder="1" applyAlignment="1">
      <alignment vertical="top" wrapText="1"/>
    </xf>
    <xf numFmtId="164" fontId="7" fillId="5" borderId="2" xfId="1" applyNumberFormat="1" applyFont="1" applyFill="1" applyBorder="1" applyAlignment="1">
      <alignment vertical="top" wrapText="1"/>
    </xf>
    <xf numFmtId="164" fontId="6" fillId="6" borderId="2" xfId="1" applyNumberFormat="1" applyFont="1" applyFill="1" applyBorder="1"/>
    <xf numFmtId="164" fontId="6" fillId="0" borderId="2" xfId="1" applyNumberFormat="1" applyFont="1" applyFill="1" applyBorder="1" applyAlignment="1">
      <alignment vertical="top"/>
    </xf>
    <xf numFmtId="164" fontId="6" fillId="6" borderId="2" xfId="1" applyNumberFormat="1" applyFont="1" applyFill="1" applyBorder="1" applyAlignment="1">
      <alignment vertical="top"/>
    </xf>
    <xf numFmtId="164" fontId="6" fillId="0" borderId="2" xfId="1" applyNumberFormat="1" applyFont="1" applyFill="1" applyBorder="1"/>
    <xf numFmtId="164" fontId="7" fillId="5" borderId="2" xfId="1" applyNumberFormat="1" applyFont="1" applyFill="1" applyBorder="1" applyAlignment="1">
      <alignment vertical="top"/>
    </xf>
    <xf numFmtId="164" fontId="6" fillId="0" borderId="16" xfId="1" applyNumberFormat="1" applyFont="1" applyFill="1" applyBorder="1" applyAlignment="1">
      <alignment vertical="top"/>
    </xf>
    <xf numFmtId="164" fontId="6" fillId="0" borderId="6" xfId="1" applyNumberFormat="1" applyFont="1" applyFill="1" applyBorder="1" applyAlignment="1">
      <alignment wrapText="1"/>
    </xf>
    <xf numFmtId="164" fontId="6" fillId="0" borderId="0" xfId="1" applyNumberFormat="1" applyFont="1" applyFill="1" applyBorder="1" applyAlignment="1">
      <alignment wrapText="1"/>
    </xf>
    <xf numFmtId="164" fontId="6" fillId="0" borderId="12" xfId="1" applyNumberFormat="1" applyFont="1" applyFill="1" applyBorder="1" applyAlignment="1">
      <alignment wrapText="1"/>
    </xf>
    <xf numFmtId="164" fontId="6" fillId="0" borderId="11" xfId="1" applyNumberFormat="1" applyFont="1" applyFill="1" applyBorder="1" applyAlignment="1">
      <alignment wrapText="1"/>
    </xf>
    <xf numFmtId="164" fontId="6" fillId="0" borderId="2" xfId="1" applyNumberFormat="1" applyFont="1" applyFill="1" applyBorder="1" applyAlignment="1">
      <alignment wrapText="1"/>
    </xf>
    <xf numFmtId="164" fontId="6" fillId="0" borderId="7" xfId="1" applyNumberFormat="1" applyFont="1" applyFill="1" applyBorder="1" applyAlignment="1">
      <alignment wrapText="1"/>
    </xf>
    <xf numFmtId="166" fontId="6" fillId="0" borderId="0" xfId="1" applyNumberFormat="1" applyFont="1" applyFill="1" applyBorder="1" applyAlignment="1">
      <alignment wrapText="1"/>
    </xf>
    <xf numFmtId="166" fontId="6" fillId="0" borderId="7" xfId="1" applyNumberFormat="1" applyFont="1" applyFill="1" applyBorder="1" applyAlignment="1">
      <alignment wrapText="1"/>
    </xf>
    <xf numFmtId="43" fontId="6" fillId="0" borderId="0" xfId="1" applyFont="1" applyFill="1" applyBorder="1" applyAlignment="1"/>
    <xf numFmtId="164" fontId="7" fillId="0" borderId="28" xfId="1" applyNumberFormat="1" applyFont="1" applyFill="1" applyBorder="1" applyAlignment="1">
      <alignment horizontal="center" vertical="top" wrapText="1"/>
    </xf>
    <xf numFmtId="164" fontId="7" fillId="0" borderId="27" xfId="1" applyNumberFormat="1" applyFont="1" applyFill="1" applyBorder="1" applyAlignment="1">
      <alignment vertical="top" wrapText="1"/>
    </xf>
    <xf numFmtId="9" fontId="7" fillId="0" borderId="3" xfId="3" applyFont="1" applyFill="1" applyBorder="1" applyAlignment="1">
      <alignment vertical="top" wrapText="1"/>
    </xf>
    <xf numFmtId="166" fontId="7" fillId="0" borderId="3" xfId="0" applyNumberFormat="1" applyFont="1" applyFill="1" applyBorder="1"/>
    <xf numFmtId="166" fontId="7" fillId="0" borderId="28" xfId="0" applyNumberFormat="1" applyFont="1" applyFill="1" applyBorder="1"/>
    <xf numFmtId="0" fontId="7" fillId="0" borderId="0" xfId="0" applyFont="1" applyFill="1" applyBorder="1" applyAlignment="1">
      <alignment horizontal="right" vertical="top"/>
    </xf>
    <xf numFmtId="0" fontId="6" fillId="0" borderId="0" xfId="0" applyFont="1" applyFill="1" applyBorder="1" applyAlignment="1">
      <alignment horizontal="right" wrapText="1"/>
    </xf>
    <xf numFmtId="0" fontId="7" fillId="4" borderId="0" xfId="0" applyFont="1" applyFill="1" applyBorder="1" applyAlignment="1">
      <alignment horizontal="right" vertical="top"/>
    </xf>
    <xf numFmtId="0" fontId="7" fillId="5" borderId="0" xfId="0" applyFont="1" applyFill="1" applyBorder="1" applyAlignment="1">
      <alignment horizontal="right" vertical="top"/>
    </xf>
    <xf numFmtId="0" fontId="6" fillId="6" borderId="0" xfId="0" applyFont="1" applyFill="1" applyBorder="1" applyAlignment="1">
      <alignment horizontal="right" vertical="center"/>
    </xf>
    <xf numFmtId="0" fontId="6" fillId="6" borderId="0" xfId="0" applyFont="1" applyFill="1" applyBorder="1" applyAlignment="1">
      <alignment horizontal="right" vertical="center" wrapText="1"/>
    </xf>
    <xf numFmtId="0" fontId="7" fillId="5" borderId="0" xfId="0" applyFont="1" applyFill="1" applyBorder="1" applyAlignment="1">
      <alignment horizontal="right" vertical="center" wrapText="1"/>
    </xf>
    <xf numFmtId="164" fontId="7" fillId="0" borderId="4" xfId="1" applyNumberFormat="1" applyFont="1" applyFill="1" applyBorder="1" applyAlignment="1">
      <alignment vertical="top" wrapText="1"/>
    </xf>
    <xf numFmtId="164" fontId="7" fillId="0" borderId="32" xfId="1" applyNumberFormat="1" applyFont="1" applyFill="1" applyBorder="1" applyAlignment="1">
      <alignment vertical="top" wrapText="1"/>
    </xf>
    <xf numFmtId="49" fontId="6" fillId="0" borderId="0" xfId="1" applyNumberFormat="1" applyFont="1" applyFill="1" applyBorder="1" applyAlignment="1">
      <alignment vertical="top" wrapText="1"/>
    </xf>
    <xf numFmtId="43" fontId="6" fillId="0" borderId="7" xfId="1" applyFont="1" applyFill="1" applyBorder="1" applyAlignment="1">
      <alignment horizontal="left" vertical="top" wrapText="1"/>
    </xf>
    <xf numFmtId="43" fontId="6" fillId="0" borderId="7" xfId="1" applyFont="1" applyFill="1" applyBorder="1" applyAlignment="1">
      <alignment vertical="top"/>
    </xf>
    <xf numFmtId="43" fontId="6" fillId="0" borderId="7" xfId="1" applyFont="1" applyFill="1" applyBorder="1" applyAlignment="1">
      <alignment vertical="top" wrapText="1"/>
    </xf>
    <xf numFmtId="43" fontId="6" fillId="0" borderId="10" xfId="1" applyFont="1" applyFill="1" applyBorder="1" applyAlignment="1">
      <alignment vertical="top" wrapText="1"/>
    </xf>
    <xf numFmtId="43" fontId="6" fillId="0" borderId="21" xfId="1" applyFont="1" applyFill="1" applyBorder="1" applyAlignment="1">
      <alignment horizontal="left" vertical="top" wrapText="1"/>
    </xf>
    <xf numFmtId="43" fontId="6" fillId="0" borderId="13" xfId="1" applyFont="1" applyFill="1" applyBorder="1" applyAlignment="1">
      <alignment vertical="top"/>
    </xf>
    <xf numFmtId="43" fontId="6" fillId="0" borderId="13" xfId="1" applyFont="1" applyFill="1" applyBorder="1" applyAlignment="1">
      <alignment vertical="top" wrapText="1"/>
    </xf>
    <xf numFmtId="43" fontId="6" fillId="0" borderId="14" xfId="1" applyFont="1" applyFill="1" applyBorder="1" applyAlignment="1">
      <alignment vertical="top" wrapText="1"/>
    </xf>
    <xf numFmtId="164" fontId="6" fillId="0" borderId="13" xfId="1" applyNumberFormat="1" applyFont="1" applyFill="1" applyBorder="1" applyAlignment="1">
      <alignment vertical="top"/>
    </xf>
    <xf numFmtId="164" fontId="6" fillId="0" borderId="14" xfId="1" applyNumberFormat="1" applyFont="1" applyFill="1" applyBorder="1" applyAlignment="1">
      <alignment vertical="top"/>
    </xf>
    <xf numFmtId="43" fontId="6" fillId="0" borderId="25" xfId="1" applyFont="1" applyFill="1" applyBorder="1" applyAlignment="1">
      <alignment horizontal="left" vertical="top" wrapText="1"/>
    </xf>
    <xf numFmtId="43" fontId="6" fillId="0" borderId="2" xfId="1" applyFont="1" applyFill="1" applyBorder="1" applyAlignment="1">
      <alignment vertical="top"/>
    </xf>
    <xf numFmtId="164" fontId="6" fillId="6" borderId="13" xfId="1" applyNumberFormat="1" applyFont="1" applyFill="1" applyBorder="1" applyAlignment="1">
      <alignment vertical="top"/>
    </xf>
    <xf numFmtId="9" fontId="6" fillId="6" borderId="7" xfId="3" applyFont="1" applyFill="1" applyBorder="1" applyAlignment="1">
      <alignment vertical="top" wrapText="1"/>
    </xf>
    <xf numFmtId="43" fontId="6" fillId="6" borderId="13" xfId="1" applyFont="1" applyFill="1" applyBorder="1" applyAlignment="1">
      <alignment vertical="top" wrapText="1"/>
    </xf>
    <xf numFmtId="43" fontId="6" fillId="6" borderId="7" xfId="1" applyFont="1" applyFill="1" applyBorder="1" applyAlignment="1">
      <alignment vertical="top" wrapText="1"/>
    </xf>
    <xf numFmtId="164" fontId="7" fillId="4" borderId="13" xfId="1" applyNumberFormat="1" applyFont="1" applyFill="1" applyBorder="1" applyAlignment="1">
      <alignment vertical="top" wrapText="1"/>
    </xf>
    <xf numFmtId="9" fontId="7" fillId="4" borderId="7" xfId="3" applyFont="1" applyFill="1" applyBorder="1" applyAlignment="1">
      <alignment vertical="top" wrapText="1"/>
    </xf>
    <xf numFmtId="43" fontId="7" fillId="4" borderId="13" xfId="1" applyFont="1" applyFill="1" applyBorder="1" applyAlignment="1">
      <alignment vertical="top" wrapText="1"/>
    </xf>
    <xf numFmtId="43" fontId="7" fillId="4" borderId="7" xfId="1" applyFont="1" applyFill="1" applyBorder="1" applyAlignment="1">
      <alignment vertical="top" wrapText="1"/>
    </xf>
    <xf numFmtId="43" fontId="10" fillId="0" borderId="0" xfId="5" applyNumberFormat="1" applyFont="1" applyFill="1" applyBorder="1" applyAlignment="1">
      <alignment vertical="top" wrapText="1"/>
    </xf>
    <xf numFmtId="164" fontId="7" fillId="5" borderId="13" xfId="1" applyNumberFormat="1" applyFont="1" applyFill="1" applyBorder="1" applyAlignment="1">
      <alignment vertical="top" wrapText="1"/>
    </xf>
    <xf numFmtId="9" fontId="7" fillId="5" borderId="7" xfId="3" applyFont="1" applyFill="1" applyBorder="1" applyAlignment="1">
      <alignment vertical="top" wrapText="1"/>
    </xf>
    <xf numFmtId="43" fontId="7" fillId="5" borderId="13" xfId="1" applyFont="1" applyFill="1" applyBorder="1" applyAlignment="1">
      <alignment vertical="top" wrapText="1"/>
    </xf>
    <xf numFmtId="43" fontId="7" fillId="5" borderId="7" xfId="1" applyFont="1" applyFill="1" applyBorder="1" applyAlignment="1">
      <alignment vertical="top" wrapText="1"/>
    </xf>
    <xf numFmtId="164" fontId="7" fillId="5" borderId="13" xfId="1" applyNumberFormat="1" applyFont="1" applyFill="1" applyBorder="1" applyAlignment="1">
      <alignment vertical="top"/>
    </xf>
    <xf numFmtId="0" fontId="11" fillId="0" borderId="0" xfId="0" applyFont="1" applyBorder="1" applyAlignment="1">
      <alignment horizontal="left" vertical="center"/>
    </xf>
    <xf numFmtId="0" fontId="7" fillId="0" borderId="0" xfId="0" applyFont="1" applyBorder="1" applyAlignment="1">
      <alignment horizontal="center" vertical="center"/>
    </xf>
    <xf numFmtId="41" fontId="11" fillId="0" borderId="7" xfId="0" applyNumberFormat="1" applyFont="1" applyFill="1" applyBorder="1" applyAlignment="1">
      <alignment horizontal="center" vertical="center" wrapText="1"/>
    </xf>
    <xf numFmtId="0" fontId="7" fillId="0" borderId="0" xfId="0" applyFont="1" applyBorder="1" applyAlignment="1">
      <alignment horizontal="center" vertical="center" wrapText="1"/>
    </xf>
    <xf numFmtId="0" fontId="7" fillId="4" borderId="0" xfId="0" applyFont="1" applyFill="1" applyBorder="1" applyAlignment="1">
      <alignment horizontal="right" vertical="center"/>
    </xf>
    <xf numFmtId="41" fontId="11" fillId="4" borderId="6" xfId="5" applyNumberFormat="1" applyFont="1" applyFill="1" applyBorder="1" applyAlignment="1">
      <alignment horizontal="center" vertical="center" wrapText="1"/>
    </xf>
    <xf numFmtId="9" fontId="11" fillId="4" borderId="12" xfId="3" applyFont="1" applyFill="1" applyBorder="1" applyAlignment="1">
      <alignment horizontal="center" vertical="center" wrapText="1"/>
    </xf>
    <xf numFmtId="41" fontId="11" fillId="4" borderId="11" xfId="5" applyNumberFormat="1" applyFont="1" applyFill="1" applyBorder="1" applyAlignment="1">
      <alignment horizontal="center" vertical="center" wrapText="1"/>
    </xf>
    <xf numFmtId="41" fontId="11" fillId="4" borderId="7" xfId="5" applyNumberFormat="1" applyFont="1" applyFill="1" applyBorder="1" applyAlignment="1">
      <alignment horizontal="center" vertical="center" wrapText="1"/>
    </xf>
    <xf numFmtId="41" fontId="11" fillId="4" borderId="6" xfId="0" applyNumberFormat="1" applyFont="1" applyFill="1" applyBorder="1" applyAlignment="1">
      <alignment horizontal="center" vertical="center" wrapText="1"/>
    </xf>
    <xf numFmtId="41" fontId="11" fillId="4" borderId="11" xfId="0" applyNumberFormat="1" applyFont="1" applyFill="1" applyBorder="1" applyAlignment="1">
      <alignment horizontal="center" vertical="center" wrapText="1"/>
    </xf>
    <xf numFmtId="0" fontId="6" fillId="0" borderId="0" xfId="0" applyFont="1" applyBorder="1" applyAlignment="1">
      <alignment horizontal="center" vertical="center"/>
    </xf>
    <xf numFmtId="0" fontId="7" fillId="5" borderId="0" xfId="0" applyFont="1" applyFill="1" applyBorder="1" applyAlignment="1">
      <alignment horizontal="right" vertical="center"/>
    </xf>
    <xf numFmtId="41" fontId="11" fillId="5" borderId="6" xfId="0" applyNumberFormat="1" applyFont="1" applyFill="1" applyBorder="1" applyAlignment="1">
      <alignment horizontal="center" vertical="center" wrapText="1"/>
    </xf>
    <xf numFmtId="9" fontId="11" fillId="5" borderId="12" xfId="3" applyFont="1" applyFill="1" applyBorder="1" applyAlignment="1">
      <alignment horizontal="center" vertical="center" wrapText="1"/>
    </xf>
    <xf numFmtId="41" fontId="11" fillId="5" borderId="11" xfId="0" applyNumberFormat="1" applyFont="1" applyFill="1" applyBorder="1" applyAlignment="1">
      <alignment horizontal="center" vertical="center" wrapText="1"/>
    </xf>
    <xf numFmtId="41" fontId="11" fillId="5" borderId="7" xfId="5" applyNumberFormat="1" applyFont="1" applyFill="1" applyBorder="1" applyAlignment="1">
      <alignment horizontal="center" vertical="center" wrapText="1"/>
    </xf>
    <xf numFmtId="0" fontId="7" fillId="6" borderId="0" xfId="0" applyFont="1" applyFill="1" applyBorder="1" applyAlignment="1">
      <alignment horizontal="right" vertical="center"/>
    </xf>
    <xf numFmtId="41" fontId="11" fillId="6" borderId="6" xfId="1" applyNumberFormat="1" applyFont="1" applyFill="1" applyBorder="1" applyAlignment="1">
      <alignment horizontal="center" vertical="center"/>
    </xf>
    <xf numFmtId="9" fontId="11" fillId="6" borderId="12" xfId="3" applyFont="1" applyFill="1" applyBorder="1" applyAlignment="1">
      <alignment horizontal="center" vertical="center" wrapText="1"/>
    </xf>
    <xf numFmtId="41" fontId="11" fillId="6" borderId="11" xfId="1" applyNumberFormat="1" applyFont="1" applyFill="1" applyBorder="1" applyAlignment="1">
      <alignment horizontal="center" vertical="center"/>
    </xf>
    <xf numFmtId="41" fontId="11" fillId="6" borderId="7" xfId="5" applyNumberFormat="1" applyFont="1" applyFill="1" applyBorder="1" applyAlignment="1">
      <alignment horizontal="center" vertical="center" wrapText="1"/>
    </xf>
    <xf numFmtId="0" fontId="6" fillId="0" borderId="0" xfId="0" applyFont="1" applyBorder="1" applyAlignment="1">
      <alignment horizontal="right" vertical="center"/>
    </xf>
    <xf numFmtId="41" fontId="9" fillId="0" borderId="6" xfId="1" applyNumberFormat="1" applyFont="1" applyFill="1" applyBorder="1" applyAlignment="1">
      <alignment horizontal="center" vertical="center"/>
    </xf>
    <xf numFmtId="9" fontId="9" fillId="0" borderId="12" xfId="3" applyFont="1" applyFill="1" applyBorder="1" applyAlignment="1">
      <alignment horizontal="center" vertical="center" wrapText="1"/>
    </xf>
    <xf numFmtId="41" fontId="9" fillId="0" borderId="11" xfId="1" applyNumberFormat="1" applyFont="1" applyFill="1" applyBorder="1" applyAlignment="1">
      <alignment horizontal="center" vertical="center"/>
    </xf>
    <xf numFmtId="41" fontId="9" fillId="0" borderId="7" xfId="5" applyNumberFormat="1" applyFont="1" applyFill="1" applyBorder="1" applyAlignment="1">
      <alignment horizontal="center" vertical="center" wrapText="1"/>
    </xf>
    <xf numFmtId="41" fontId="9" fillId="6" borderId="6" xfId="1" applyNumberFormat="1" applyFont="1" applyFill="1" applyBorder="1" applyAlignment="1">
      <alignment horizontal="center" vertical="center"/>
    </xf>
    <xf numFmtId="9" fontId="9" fillId="6" borderId="12" xfId="3" applyFont="1" applyFill="1" applyBorder="1" applyAlignment="1">
      <alignment horizontal="center" vertical="center" wrapText="1"/>
    </xf>
    <xf numFmtId="41" fontId="9" fillId="6" borderId="11" xfId="1" applyNumberFormat="1" applyFont="1" applyFill="1" applyBorder="1" applyAlignment="1">
      <alignment horizontal="center" vertical="center"/>
    </xf>
    <xf numFmtId="41" fontId="9" fillId="6" borderId="7" xfId="5" applyNumberFormat="1" applyFont="1" applyFill="1" applyBorder="1" applyAlignment="1">
      <alignment horizontal="center" vertical="center" wrapText="1"/>
    </xf>
    <xf numFmtId="164" fontId="9" fillId="0" borderId="12" xfId="1" applyNumberFormat="1" applyFont="1" applyFill="1" applyBorder="1" applyAlignment="1">
      <alignment horizontal="center" vertical="center"/>
    </xf>
    <xf numFmtId="41" fontId="9" fillId="5" borderId="6" xfId="5" applyNumberFormat="1" applyFont="1" applyFill="1" applyBorder="1" applyAlignment="1">
      <alignment horizontal="center" vertical="center"/>
    </xf>
    <xf numFmtId="9" fontId="9" fillId="5" borderId="12" xfId="3" applyFont="1" applyFill="1" applyBorder="1" applyAlignment="1">
      <alignment horizontal="center" vertical="center" wrapText="1"/>
    </xf>
    <xf numFmtId="41" fontId="9" fillId="5" borderId="11" xfId="1" applyNumberFormat="1" applyFont="1" applyFill="1" applyBorder="1" applyAlignment="1">
      <alignment horizontal="center" vertical="center"/>
    </xf>
    <xf numFmtId="41" fontId="9" fillId="5" borderId="11" xfId="5" applyNumberFormat="1" applyFont="1" applyFill="1" applyBorder="1" applyAlignment="1">
      <alignment horizontal="center" vertical="center"/>
    </xf>
    <xf numFmtId="41" fontId="9" fillId="5" borderId="7" xfId="5" applyNumberFormat="1" applyFont="1" applyFill="1" applyBorder="1" applyAlignment="1">
      <alignment horizontal="center" vertical="center" wrapText="1"/>
    </xf>
    <xf numFmtId="1" fontId="9" fillId="5" borderId="12" xfId="5" applyNumberFormat="1" applyFont="1" applyFill="1" applyBorder="1" applyAlignment="1">
      <alignment horizontal="center" vertical="center"/>
    </xf>
    <xf numFmtId="0" fontId="7" fillId="6" borderId="0" xfId="0" applyFont="1" applyFill="1" applyBorder="1" applyAlignment="1">
      <alignment horizontal="right" vertical="center" wrapText="1"/>
    </xf>
    <xf numFmtId="41" fontId="9" fillId="6" borderId="6" xfId="0" applyNumberFormat="1" applyFont="1" applyFill="1" applyBorder="1" applyAlignment="1">
      <alignment horizontal="center" vertical="center"/>
    </xf>
    <xf numFmtId="41" fontId="9" fillId="6" borderId="11" xfId="0" applyNumberFormat="1" applyFont="1" applyFill="1" applyBorder="1" applyAlignment="1">
      <alignment horizontal="center" vertical="center"/>
    </xf>
    <xf numFmtId="41" fontId="9" fillId="6" borderId="6" xfId="5" applyNumberFormat="1" applyFont="1" applyFill="1" applyBorder="1" applyAlignment="1">
      <alignment horizontal="center" vertical="center"/>
    </xf>
    <xf numFmtId="41" fontId="9" fillId="6" borderId="11" xfId="5" applyNumberFormat="1" applyFont="1" applyFill="1" applyBorder="1" applyAlignment="1">
      <alignment horizontal="center" vertical="center"/>
    </xf>
    <xf numFmtId="1" fontId="9" fillId="6" borderId="12" xfId="5" applyNumberFormat="1" applyFont="1" applyFill="1" applyBorder="1" applyAlignment="1">
      <alignment horizontal="center" vertical="center"/>
    </xf>
    <xf numFmtId="0" fontId="6" fillId="0" borderId="0" xfId="0" applyFont="1" applyBorder="1" applyAlignment="1">
      <alignment horizontal="right" vertical="center" wrapText="1"/>
    </xf>
    <xf numFmtId="41" fontId="9" fillId="0" borderId="6" xfId="0" applyNumberFormat="1" applyFont="1" applyFill="1" applyBorder="1" applyAlignment="1">
      <alignment horizontal="center" vertical="center"/>
    </xf>
    <xf numFmtId="41" fontId="9" fillId="0" borderId="11" xfId="0" applyNumberFormat="1" applyFont="1" applyFill="1" applyBorder="1" applyAlignment="1">
      <alignment horizontal="center" vertical="center"/>
    </xf>
    <xf numFmtId="41" fontId="9" fillId="0" borderId="7" xfId="0" applyNumberFormat="1" applyFont="1" applyFill="1" applyBorder="1" applyAlignment="1">
      <alignment horizontal="center" vertical="center"/>
    </xf>
    <xf numFmtId="41" fontId="9" fillId="0" borderId="6" xfId="5" applyNumberFormat="1" applyFont="1" applyFill="1" applyBorder="1" applyAlignment="1">
      <alignment horizontal="center" vertical="center"/>
    </xf>
    <xf numFmtId="41" fontId="9" fillId="0" borderId="11" xfId="5" applyNumberFormat="1" applyFont="1" applyFill="1" applyBorder="1" applyAlignment="1">
      <alignment horizontal="center" vertical="center"/>
    </xf>
    <xf numFmtId="1" fontId="9" fillId="0" borderId="12" xfId="5" applyNumberFormat="1" applyFont="1" applyFill="1" applyBorder="1" applyAlignment="1">
      <alignment horizontal="center" vertical="center"/>
    </xf>
    <xf numFmtId="41" fontId="9" fillId="0" borderId="8" xfId="0" applyNumberFormat="1" applyFont="1" applyFill="1" applyBorder="1" applyAlignment="1">
      <alignment horizontal="center" vertical="center"/>
    </xf>
    <xf numFmtId="9" fontId="9" fillId="0" borderId="15" xfId="3" applyFont="1" applyFill="1" applyBorder="1" applyAlignment="1">
      <alignment horizontal="center" vertical="center" wrapText="1"/>
    </xf>
    <xf numFmtId="41" fontId="9" fillId="0" borderId="17" xfId="1" applyNumberFormat="1" applyFont="1" applyFill="1" applyBorder="1" applyAlignment="1">
      <alignment horizontal="center" vertical="center"/>
    </xf>
    <xf numFmtId="41" fontId="9" fillId="0" borderId="17" xfId="0" applyNumberFormat="1" applyFont="1" applyFill="1" applyBorder="1" applyAlignment="1">
      <alignment horizontal="center" vertical="center"/>
    </xf>
    <xf numFmtId="41" fontId="9" fillId="0" borderId="10" xfId="5" applyNumberFormat="1" applyFont="1" applyFill="1" applyBorder="1" applyAlignment="1">
      <alignment horizontal="center" vertical="center" wrapText="1"/>
    </xf>
    <xf numFmtId="41" fontId="9" fillId="0" borderId="8" xfId="5" applyNumberFormat="1" applyFont="1" applyFill="1" applyBorder="1" applyAlignment="1">
      <alignment horizontal="center" vertical="center"/>
    </xf>
    <xf numFmtId="41" fontId="9" fillId="0" borderId="17" xfId="5" applyNumberFormat="1" applyFont="1" applyFill="1" applyBorder="1" applyAlignment="1">
      <alignment horizontal="center" vertical="center"/>
    </xf>
    <xf numFmtId="1" fontId="9" fillId="0" borderId="15" xfId="5" applyNumberFormat="1" applyFont="1" applyFill="1" applyBorder="1" applyAlignment="1">
      <alignment horizontal="center" vertical="center"/>
    </xf>
    <xf numFmtId="0" fontId="6" fillId="0" borderId="0" xfId="0" applyFont="1" applyBorder="1" applyAlignment="1">
      <alignment horizontal="left" vertical="center"/>
    </xf>
    <xf numFmtId="41" fontId="6" fillId="0" borderId="0" xfId="0" applyNumberFormat="1" applyFont="1" applyBorder="1" applyAlignment="1">
      <alignment horizontal="center" vertical="center"/>
    </xf>
    <xf numFmtId="9" fontId="9" fillId="0" borderId="0" xfId="3" applyFont="1" applyFill="1" applyBorder="1" applyAlignment="1">
      <alignment horizontal="center" vertical="center" wrapText="1"/>
    </xf>
    <xf numFmtId="49" fontId="6" fillId="0" borderId="0" xfId="0" applyNumberFormat="1" applyFont="1" applyBorder="1" applyAlignment="1">
      <alignment horizontal="left" vertical="center"/>
    </xf>
    <xf numFmtId="0" fontId="7" fillId="0" borderId="0" xfId="0" applyFont="1" applyAlignment="1">
      <alignment vertical="center"/>
    </xf>
    <xf numFmtId="0" fontId="6" fillId="0" borderId="7" xfId="0" applyFont="1" applyBorder="1" applyAlignment="1">
      <alignment horizontal="center" vertical="center" wrapText="1"/>
    </xf>
    <xf numFmtId="0" fontId="6" fillId="0" borderId="0" xfId="0" applyFont="1" applyAlignment="1">
      <alignment vertical="center"/>
    </xf>
    <xf numFmtId="164" fontId="7" fillId="4" borderId="6" xfId="0" applyNumberFormat="1" applyFont="1" applyFill="1" applyBorder="1" applyAlignment="1">
      <alignment horizontal="right" vertical="center"/>
    </xf>
    <xf numFmtId="9" fontId="7" fillId="4" borderId="12" xfId="3" applyFont="1" applyFill="1" applyBorder="1" applyAlignment="1">
      <alignment horizontal="center" vertical="center"/>
    </xf>
    <xf numFmtId="164" fontId="7" fillId="4" borderId="11" xfId="0" applyNumberFormat="1" applyFont="1" applyFill="1" applyBorder="1" applyAlignment="1">
      <alignment horizontal="right" vertical="center"/>
    </xf>
    <xf numFmtId="164" fontId="7" fillId="4" borderId="7" xfId="0" applyNumberFormat="1" applyFont="1" applyFill="1" applyBorder="1" applyAlignment="1">
      <alignment horizontal="center" vertical="center"/>
    </xf>
    <xf numFmtId="164" fontId="7" fillId="4" borderId="6" xfId="0" applyNumberFormat="1" applyFont="1" applyFill="1" applyBorder="1" applyAlignment="1">
      <alignment horizontal="right" vertical="center" wrapText="1"/>
    </xf>
    <xf numFmtId="164" fontId="7" fillId="4" borderId="11" xfId="0" applyNumberFormat="1" applyFont="1" applyFill="1" applyBorder="1" applyAlignment="1">
      <alignment horizontal="right" vertical="center" wrapText="1"/>
    </xf>
    <xf numFmtId="164" fontId="7" fillId="4" borderId="7" xfId="0" applyNumberFormat="1" applyFont="1" applyFill="1" applyBorder="1" applyAlignment="1">
      <alignment horizontal="center" vertical="center" wrapText="1"/>
    </xf>
    <xf numFmtId="164" fontId="7" fillId="5" borderId="6" xfId="0" applyNumberFormat="1" applyFont="1" applyFill="1" applyBorder="1" applyAlignment="1">
      <alignment horizontal="right" vertical="center"/>
    </xf>
    <xf numFmtId="9" fontId="7" fillId="5" borderId="12" xfId="3" applyFont="1" applyFill="1" applyBorder="1" applyAlignment="1">
      <alignment horizontal="center" vertical="center"/>
    </xf>
    <xf numFmtId="164" fontId="7" fillId="5" borderId="11" xfId="0" applyNumberFormat="1" applyFont="1" applyFill="1" applyBorder="1" applyAlignment="1">
      <alignment horizontal="right" vertical="center"/>
    </xf>
    <xf numFmtId="164" fontId="7" fillId="5" borderId="7" xfId="0" applyNumberFormat="1" applyFont="1" applyFill="1" applyBorder="1" applyAlignment="1">
      <alignment horizontal="center" vertical="center"/>
    </xf>
    <xf numFmtId="164" fontId="7" fillId="5" borderId="6" xfId="0" applyNumberFormat="1" applyFont="1" applyFill="1" applyBorder="1" applyAlignment="1">
      <alignment horizontal="right" vertical="center" wrapText="1"/>
    </xf>
    <xf numFmtId="164" fontId="7" fillId="5" borderId="11" xfId="0" applyNumberFormat="1" applyFont="1" applyFill="1" applyBorder="1" applyAlignment="1">
      <alignment horizontal="right" vertical="center" wrapText="1"/>
    </xf>
    <xf numFmtId="164" fontId="7" fillId="5" borderId="7" xfId="0" applyNumberFormat="1" applyFont="1" applyFill="1" applyBorder="1" applyAlignment="1">
      <alignment horizontal="center" vertical="center" wrapText="1"/>
    </xf>
    <xf numFmtId="164" fontId="6" fillId="6" borderId="6" xfId="0" applyNumberFormat="1" applyFont="1" applyFill="1" applyBorder="1" applyAlignment="1">
      <alignment horizontal="right" vertical="center"/>
    </xf>
    <xf numFmtId="9" fontId="6" fillId="6" borderId="12" xfId="3" applyFont="1" applyFill="1" applyBorder="1" applyAlignment="1">
      <alignment horizontal="center" vertical="center"/>
    </xf>
    <xf numFmtId="164" fontId="6" fillId="6" borderId="11" xfId="0" applyNumberFormat="1" applyFont="1" applyFill="1" applyBorder="1" applyAlignment="1">
      <alignment horizontal="right" vertical="center"/>
    </xf>
    <xf numFmtId="164" fontId="6" fillId="6" borderId="7" xfId="0" applyNumberFormat="1" applyFont="1" applyFill="1" applyBorder="1" applyAlignment="1">
      <alignment horizontal="center" vertical="center"/>
    </xf>
    <xf numFmtId="164" fontId="7" fillId="6" borderId="6" xfId="1" applyNumberFormat="1" applyFont="1" applyFill="1" applyBorder="1" applyAlignment="1">
      <alignment horizontal="right" vertical="center"/>
    </xf>
    <xf numFmtId="164" fontId="7" fillId="6" borderId="11" xfId="1" applyNumberFormat="1" applyFont="1" applyFill="1" applyBorder="1" applyAlignment="1">
      <alignment horizontal="right" vertical="center"/>
    </xf>
    <xf numFmtId="164" fontId="6" fillId="6" borderId="7" xfId="0" applyNumberFormat="1" applyFont="1" applyFill="1" applyBorder="1" applyAlignment="1">
      <alignment horizontal="center" vertical="center" wrapText="1"/>
    </xf>
    <xf numFmtId="164" fontId="6" fillId="0" borderId="6" xfId="0" applyNumberFormat="1" applyFont="1" applyBorder="1" applyAlignment="1">
      <alignment horizontal="right" vertical="center"/>
    </xf>
    <xf numFmtId="9" fontId="6" fillId="0" borderId="12" xfId="3" applyFont="1" applyBorder="1" applyAlignment="1">
      <alignment horizontal="center" vertical="center"/>
    </xf>
    <xf numFmtId="164" fontId="6" fillId="0" borderId="11" xfId="0" applyNumberFormat="1" applyFont="1" applyBorder="1" applyAlignment="1">
      <alignment horizontal="right" vertical="center"/>
    </xf>
    <xf numFmtId="164" fontId="6" fillId="0" borderId="7" xfId="0" applyNumberFormat="1" applyFont="1" applyBorder="1" applyAlignment="1">
      <alignment horizontal="center" vertical="center"/>
    </xf>
    <xf numFmtId="164" fontId="6" fillId="0" borderId="6" xfId="1" applyNumberFormat="1" applyFont="1" applyBorder="1" applyAlignment="1">
      <alignment horizontal="right" vertical="center"/>
    </xf>
    <xf numFmtId="164" fontId="6" fillId="0" borderId="11" xfId="1" applyNumberFormat="1" applyFont="1" applyBorder="1" applyAlignment="1">
      <alignment horizontal="right" vertical="center"/>
    </xf>
    <xf numFmtId="164" fontId="6" fillId="0" borderId="7" xfId="0" applyNumberFormat="1" applyFont="1" applyBorder="1" applyAlignment="1">
      <alignment horizontal="center" vertical="center" wrapText="1"/>
    </xf>
    <xf numFmtId="0" fontId="6" fillId="0" borderId="0" xfId="0" applyFont="1" applyAlignment="1">
      <alignment vertical="center" wrapText="1"/>
    </xf>
    <xf numFmtId="164" fontId="6" fillId="0" borderId="6" xfId="1" applyNumberFormat="1" applyFont="1" applyFill="1" applyBorder="1" applyAlignment="1">
      <alignment horizontal="right" vertical="center"/>
    </xf>
    <xf numFmtId="164" fontId="6" fillId="0" borderId="11" xfId="1" applyNumberFormat="1" applyFont="1" applyFill="1" applyBorder="1" applyAlignment="1">
      <alignment horizontal="right" vertical="center"/>
    </xf>
    <xf numFmtId="164" fontId="6" fillId="6" borderId="6" xfId="1" applyNumberFormat="1" applyFont="1" applyFill="1" applyBorder="1" applyAlignment="1">
      <alignment horizontal="right" vertical="center"/>
    </xf>
    <xf numFmtId="164" fontId="6" fillId="6" borderId="11" xfId="1" applyNumberFormat="1" applyFont="1" applyFill="1" applyBorder="1" applyAlignment="1">
      <alignment horizontal="right" vertical="center"/>
    </xf>
    <xf numFmtId="0" fontId="7" fillId="5" borderId="6" xfId="0" applyFont="1" applyFill="1" applyBorder="1" applyAlignment="1">
      <alignment horizontal="right" vertical="center" wrapText="1"/>
    </xf>
    <xf numFmtId="0" fontId="7" fillId="5" borderId="11" xfId="0" applyFont="1" applyFill="1" applyBorder="1" applyAlignment="1">
      <alignment horizontal="right" vertical="center" wrapText="1"/>
    </xf>
    <xf numFmtId="0" fontId="7" fillId="6" borderId="6" xfId="0" applyFont="1" applyFill="1" applyBorder="1" applyAlignment="1">
      <alignment horizontal="right" vertical="center" wrapText="1"/>
    </xf>
    <xf numFmtId="0" fontId="7" fillId="6" borderId="11" xfId="0" applyFont="1" applyFill="1" applyBorder="1" applyAlignment="1">
      <alignment horizontal="right" vertical="center" wrapText="1"/>
    </xf>
    <xf numFmtId="0" fontId="6" fillId="0" borderId="6" xfId="0" applyFont="1" applyBorder="1" applyAlignment="1">
      <alignment horizontal="right" vertical="center" wrapText="1"/>
    </xf>
    <xf numFmtId="0" fontId="6" fillId="0" borderId="11" xfId="0" applyFont="1" applyBorder="1" applyAlignment="1">
      <alignment horizontal="right" vertical="center" wrapText="1"/>
    </xf>
    <xf numFmtId="164" fontId="6" fillId="0" borderId="8" xfId="0" applyNumberFormat="1" applyFont="1" applyBorder="1" applyAlignment="1">
      <alignment horizontal="right" vertical="center"/>
    </xf>
    <xf numFmtId="9" fontId="6" fillId="0" borderId="15" xfId="3" applyFont="1" applyBorder="1" applyAlignment="1">
      <alignment horizontal="center" vertical="center"/>
    </xf>
    <xf numFmtId="164" fontId="6" fillId="0" borderId="17" xfId="0" applyNumberFormat="1" applyFont="1" applyBorder="1" applyAlignment="1">
      <alignment horizontal="right" vertical="center"/>
    </xf>
    <xf numFmtId="164" fontId="6" fillId="0" borderId="10" xfId="0" applyNumberFormat="1" applyFont="1" applyBorder="1" applyAlignment="1">
      <alignment horizontal="center" vertical="center"/>
    </xf>
    <xf numFmtId="0" fontId="6" fillId="0" borderId="8" xfId="0" applyFont="1" applyBorder="1" applyAlignment="1">
      <alignment horizontal="right" vertical="center" wrapText="1"/>
    </xf>
    <xf numFmtId="0" fontId="6" fillId="0" borderId="17" xfId="0" applyFont="1" applyBorder="1" applyAlignment="1">
      <alignment horizontal="right" vertical="center" wrapText="1"/>
    </xf>
    <xf numFmtId="164" fontId="6" fillId="0" borderId="10" xfId="0" applyNumberFormat="1" applyFont="1" applyBorder="1" applyAlignment="1">
      <alignment horizontal="center" vertical="center" wrapText="1"/>
    </xf>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49" fontId="6" fillId="0" borderId="0" xfId="0" applyNumberFormat="1" applyFont="1" applyFill="1" applyBorder="1" applyAlignment="1"/>
    <xf numFmtId="43" fontId="6" fillId="6" borderId="13" xfId="1" applyNumberFormat="1" applyFont="1" applyFill="1" applyBorder="1" applyAlignment="1">
      <alignment vertical="top" wrapText="1"/>
    </xf>
    <xf numFmtId="43" fontId="6" fillId="0" borderId="13" xfId="1" applyNumberFormat="1" applyFont="1" applyFill="1" applyBorder="1" applyAlignment="1">
      <alignment vertical="top" wrapText="1"/>
    </xf>
    <xf numFmtId="43" fontId="6" fillId="0" borderId="21" xfId="1" applyFont="1" applyFill="1" applyBorder="1" applyAlignment="1">
      <alignment horizontal="left" wrapText="1"/>
    </xf>
    <xf numFmtId="43" fontId="6" fillId="0" borderId="25" xfId="1" applyFont="1" applyFill="1" applyBorder="1" applyAlignment="1">
      <alignment horizontal="left" wrapText="1"/>
    </xf>
    <xf numFmtId="43" fontId="6" fillId="0" borderId="7" xfId="1" applyFont="1" applyFill="1" applyBorder="1" applyAlignment="1">
      <alignment horizontal="left" wrapText="1"/>
    </xf>
    <xf numFmtId="43" fontId="6" fillId="0" borderId="0" xfId="1" applyFont="1" applyFill="1" applyBorder="1" applyAlignment="1">
      <alignment wrapText="1"/>
    </xf>
    <xf numFmtId="43" fontId="6" fillId="0" borderId="13" xfId="1" applyFont="1" applyFill="1" applyBorder="1" applyAlignment="1">
      <alignment wrapText="1"/>
    </xf>
    <xf numFmtId="43" fontId="6" fillId="0" borderId="2" xfId="1" applyFont="1" applyFill="1" applyBorder="1" applyAlignment="1">
      <alignment wrapText="1"/>
    </xf>
    <xf numFmtId="43" fontId="6" fillId="0" borderId="7" xfId="1" applyFont="1" applyFill="1" applyBorder="1" applyAlignment="1">
      <alignment wrapText="1"/>
    </xf>
    <xf numFmtId="49" fontId="6" fillId="0" borderId="0" xfId="1" applyNumberFormat="1" applyFont="1" applyFill="1" applyBorder="1" applyAlignment="1">
      <alignment wrapText="1"/>
    </xf>
    <xf numFmtId="0" fontId="7" fillId="4" borderId="0" xfId="0" applyFont="1" applyFill="1" applyBorder="1" applyAlignment="1">
      <alignment horizontal="right"/>
    </xf>
    <xf numFmtId="43" fontId="7" fillId="4" borderId="13" xfId="1" applyNumberFormat="1" applyFont="1" applyFill="1" applyBorder="1" applyAlignment="1">
      <alignment wrapText="1"/>
    </xf>
    <xf numFmtId="43" fontId="7" fillId="4" borderId="7" xfId="1" applyNumberFormat="1" applyFont="1" applyFill="1" applyBorder="1" applyAlignment="1">
      <alignment wrapText="1"/>
    </xf>
    <xf numFmtId="0" fontId="7" fillId="5" borderId="0" xfId="0" applyFont="1" applyFill="1" applyBorder="1" applyAlignment="1">
      <alignment horizontal="right"/>
    </xf>
    <xf numFmtId="43" fontId="7" fillId="5" borderId="13" xfId="1" applyNumberFormat="1" applyFont="1" applyFill="1" applyBorder="1" applyAlignment="1">
      <alignment wrapText="1"/>
    </xf>
    <xf numFmtId="43" fontId="7" fillId="5" borderId="7" xfId="1" applyNumberFormat="1" applyFont="1" applyFill="1" applyBorder="1" applyAlignment="1">
      <alignment wrapText="1"/>
    </xf>
    <xf numFmtId="0" fontId="6" fillId="6" borderId="0" xfId="0" applyFont="1" applyFill="1" applyBorder="1" applyAlignment="1">
      <alignment horizontal="right"/>
    </xf>
    <xf numFmtId="43" fontId="6" fillId="6" borderId="13" xfId="1" applyNumberFormat="1" applyFont="1" applyFill="1" applyBorder="1" applyAlignment="1">
      <alignment wrapText="1"/>
    </xf>
    <xf numFmtId="43" fontId="6" fillId="6" borderId="7" xfId="1" applyNumberFormat="1" applyFont="1" applyFill="1" applyBorder="1" applyAlignment="1">
      <alignment wrapText="1"/>
    </xf>
    <xf numFmtId="43" fontId="6" fillId="0" borderId="13" xfId="1" applyNumberFormat="1" applyFont="1" applyFill="1" applyBorder="1" applyAlignment="1">
      <alignment wrapText="1"/>
    </xf>
    <xf numFmtId="43" fontId="6" fillId="0" borderId="7" xfId="1" applyNumberFormat="1" applyFont="1" applyFill="1" applyBorder="1" applyAlignment="1">
      <alignment wrapText="1"/>
    </xf>
    <xf numFmtId="0" fontId="6" fillId="6" borderId="0" xfId="0" applyFont="1" applyFill="1" applyBorder="1" applyAlignment="1">
      <alignment horizontal="right" wrapText="1"/>
    </xf>
    <xf numFmtId="0" fontId="7" fillId="5" borderId="0" xfId="0" applyFont="1" applyFill="1" applyBorder="1" applyAlignment="1">
      <alignment horizontal="right" wrapText="1"/>
    </xf>
    <xf numFmtId="43" fontId="9" fillId="0" borderId="0" xfId="1" applyFont="1" applyFill="1" applyBorder="1" applyAlignment="1"/>
    <xf numFmtId="43" fontId="6" fillId="0" borderId="7" xfId="1" applyFont="1" applyFill="1" applyBorder="1" applyAlignment="1"/>
    <xf numFmtId="43" fontId="6" fillId="0" borderId="14" xfId="1" applyNumberFormat="1" applyFont="1" applyFill="1" applyBorder="1" applyAlignment="1">
      <alignment wrapText="1"/>
    </xf>
    <xf numFmtId="43" fontId="6" fillId="0" borderId="10" xfId="1" applyFont="1" applyFill="1" applyBorder="1" applyAlignment="1"/>
    <xf numFmtId="0" fontId="11" fillId="0" borderId="0" xfId="0" applyFont="1" applyFill="1" applyBorder="1" applyAlignment="1">
      <alignment horizontal="center" vertical="center" wrapText="1"/>
    </xf>
    <xf numFmtId="0" fontId="9" fillId="0" borderId="0" xfId="0" applyFont="1" applyFill="1" applyBorder="1"/>
    <xf numFmtId="43" fontId="9" fillId="0" borderId="0" xfId="1" applyFont="1" applyFill="1" applyBorder="1" applyAlignment="1">
      <alignment horizontal="center" vertical="top" wrapText="1"/>
    </xf>
    <xf numFmtId="0" fontId="9" fillId="0" borderId="0" xfId="0" applyFont="1" applyFill="1" applyBorder="1" applyAlignment="1">
      <alignment horizontal="center" wrapText="1"/>
    </xf>
    <xf numFmtId="164" fontId="9" fillId="0" borderId="0" xfId="1" applyNumberFormat="1" applyFont="1" applyFill="1" applyBorder="1" applyAlignment="1">
      <alignment horizontal="center"/>
    </xf>
    <xf numFmtId="164" fontId="9" fillId="0" borderId="0" xfId="1" applyNumberFormat="1" applyFont="1" applyFill="1" applyBorder="1" applyAlignment="1">
      <alignment horizontal="center" vertical="top"/>
    </xf>
    <xf numFmtId="0" fontId="9" fillId="0" borderId="0" xfId="0" applyFont="1" applyFill="1" applyBorder="1" applyAlignment="1">
      <alignment horizontal="center" vertical="center" wrapText="1"/>
    </xf>
    <xf numFmtId="0" fontId="11" fillId="0" borderId="0" xfId="0" applyFont="1" applyFill="1" applyBorder="1" applyAlignment="1">
      <alignment horizontal="right" vertical="center" wrapText="1"/>
    </xf>
    <xf numFmtId="0" fontId="9" fillId="0" borderId="0" xfId="0" applyFont="1" applyFill="1" applyBorder="1" applyAlignment="1">
      <alignment horizontal="right" vertical="center" wrapText="1"/>
    </xf>
    <xf numFmtId="0" fontId="9" fillId="6" borderId="0" xfId="0" applyFont="1" applyFill="1" applyBorder="1" applyAlignment="1">
      <alignment horizontal="right" vertical="center"/>
    </xf>
    <xf numFmtId="0" fontId="9" fillId="6" borderId="0" xfId="0" applyFont="1" applyFill="1" applyBorder="1" applyAlignment="1">
      <alignment horizontal="right" vertical="center" wrapText="1"/>
    </xf>
    <xf numFmtId="0" fontId="9" fillId="0" borderId="0" xfId="0" applyFont="1" applyFill="1" applyBorder="1" applyAlignment="1">
      <alignment horizontal="right" vertical="center"/>
    </xf>
    <xf numFmtId="0" fontId="9" fillId="0" borderId="0" xfId="0" applyFont="1" applyFill="1" applyBorder="1" applyAlignment="1">
      <alignment horizontal="right"/>
    </xf>
    <xf numFmtId="0" fontId="11" fillId="4" borderId="0" xfId="0" applyFont="1" applyFill="1" applyBorder="1" applyAlignment="1">
      <alignment horizontal="right" vertical="top"/>
    </xf>
    <xf numFmtId="0" fontId="11" fillId="5" borderId="0" xfId="0" applyFont="1" applyFill="1" applyBorder="1" applyAlignment="1">
      <alignment horizontal="right" vertical="top"/>
    </xf>
    <xf numFmtId="0" fontId="11" fillId="5" borderId="0" xfId="0" applyFont="1" applyFill="1" applyBorder="1" applyAlignment="1">
      <alignment horizontal="right" vertical="center" wrapText="1"/>
    </xf>
    <xf numFmtId="43" fontId="9" fillId="0" borderId="7" xfId="1" applyFont="1" applyFill="1" applyBorder="1" applyAlignment="1">
      <alignment horizontal="center" vertical="center" wrapText="1"/>
    </xf>
    <xf numFmtId="43" fontId="9" fillId="0" borderId="7" xfId="1" applyFont="1" applyFill="1" applyBorder="1" applyAlignment="1">
      <alignment horizontal="center" vertical="top" wrapText="1"/>
    </xf>
    <xf numFmtId="41" fontId="11" fillId="4" borderId="7" xfId="5" applyNumberFormat="1" applyFont="1" applyFill="1" applyBorder="1" applyAlignment="1">
      <alignment vertical="top" wrapText="1"/>
    </xf>
    <xf numFmtId="41" fontId="11" fillId="5" borderId="7" xfId="1" applyNumberFormat="1" applyFont="1" applyFill="1" applyBorder="1" applyAlignment="1">
      <alignment vertical="top" wrapText="1"/>
    </xf>
    <xf numFmtId="41" fontId="9" fillId="6" borderId="7" xfId="1" applyNumberFormat="1" applyFont="1" applyFill="1" applyBorder="1" applyAlignment="1"/>
    <xf numFmtId="41" fontId="9" fillId="0" borderId="7" xfId="1" applyNumberFormat="1" applyFont="1" applyFill="1" applyBorder="1" applyAlignment="1"/>
    <xf numFmtId="41" fontId="9" fillId="6" borderId="7" xfId="1" applyNumberFormat="1" applyFont="1" applyFill="1" applyBorder="1" applyAlignment="1">
      <alignment vertical="top"/>
    </xf>
    <xf numFmtId="41" fontId="9" fillId="0" borderId="7" xfId="5" applyNumberFormat="1" applyFont="1" applyFill="1" applyBorder="1" applyAlignment="1"/>
    <xf numFmtId="41" fontId="9" fillId="0" borderId="7" xfId="1" applyNumberFormat="1" applyFont="1" applyFill="1" applyBorder="1" applyAlignment="1">
      <alignment vertical="top" wrapText="1"/>
    </xf>
    <xf numFmtId="41" fontId="11" fillId="5" borderId="7" xfId="1" applyNumberFormat="1" applyFont="1" applyFill="1" applyBorder="1" applyAlignment="1">
      <alignment vertical="top"/>
    </xf>
    <xf numFmtId="41" fontId="9" fillId="0" borderId="7" xfId="1" applyNumberFormat="1" applyFont="1" applyFill="1" applyBorder="1" applyAlignment="1">
      <alignment vertical="top"/>
    </xf>
    <xf numFmtId="41" fontId="9" fillId="0" borderId="10" xfId="1" applyNumberFormat="1" applyFont="1" applyFill="1" applyBorder="1" applyAlignment="1">
      <alignment vertical="top"/>
    </xf>
    <xf numFmtId="43" fontId="9" fillId="0" borderId="21" xfId="1" applyFont="1" applyFill="1" applyBorder="1" applyAlignment="1">
      <alignment horizontal="center" wrapText="1"/>
    </xf>
    <xf numFmtId="43" fontId="9" fillId="0" borderId="13" xfId="1" applyFont="1" applyFill="1" applyBorder="1" applyAlignment="1">
      <alignment horizontal="center" vertical="top" wrapText="1"/>
    </xf>
    <xf numFmtId="169" fontId="11" fillId="4" borderId="13" xfId="5" applyNumberFormat="1" applyFont="1" applyFill="1" applyBorder="1" applyAlignment="1">
      <alignment vertical="top" wrapText="1"/>
    </xf>
    <xf numFmtId="169" fontId="11" fillId="5" borderId="13" xfId="1" applyNumberFormat="1" applyFont="1" applyFill="1" applyBorder="1" applyAlignment="1">
      <alignment vertical="top" wrapText="1"/>
    </xf>
    <xf numFmtId="169" fontId="9" fillId="6" borderId="13" xfId="1" applyNumberFormat="1" applyFont="1" applyFill="1" applyBorder="1" applyAlignment="1"/>
    <xf numFmtId="169" fontId="9" fillId="0" borderId="13" xfId="1" applyNumberFormat="1" applyFont="1" applyFill="1" applyBorder="1" applyAlignment="1"/>
    <xf numFmtId="169" fontId="9" fillId="6" borderId="13" xfId="1" applyNumberFormat="1" applyFont="1" applyFill="1" applyBorder="1" applyAlignment="1">
      <alignment vertical="top"/>
    </xf>
    <xf numFmtId="169" fontId="9" fillId="0" borderId="13" xfId="1" applyNumberFormat="1" applyFont="1" applyFill="1" applyBorder="1" applyAlignment="1">
      <alignment vertical="top" wrapText="1"/>
    </xf>
    <xf numFmtId="169" fontId="11" fillId="5" borderId="13" xfId="1" applyNumberFormat="1" applyFont="1" applyFill="1" applyBorder="1" applyAlignment="1">
      <alignment vertical="top"/>
    </xf>
    <xf numFmtId="169" fontId="9" fillId="0" borderId="13" xfId="1" applyNumberFormat="1" applyFont="1" applyFill="1" applyBorder="1" applyAlignment="1">
      <alignment vertical="top"/>
    </xf>
    <xf numFmtId="169" fontId="9" fillId="0" borderId="14" xfId="1" applyNumberFormat="1" applyFont="1" applyFill="1" applyBorder="1" applyAlignment="1">
      <alignment vertical="top"/>
    </xf>
    <xf numFmtId="43" fontId="9" fillId="0" borderId="25" xfId="1" applyFont="1" applyFill="1" applyBorder="1" applyAlignment="1">
      <alignment horizontal="center" wrapText="1"/>
    </xf>
    <xf numFmtId="43" fontId="9" fillId="0" borderId="2" xfId="1" applyFont="1" applyFill="1" applyBorder="1" applyAlignment="1">
      <alignment horizontal="center" vertical="top" wrapText="1"/>
    </xf>
    <xf numFmtId="41" fontId="11" fillId="4" borderId="2" xfId="5" applyNumberFormat="1" applyFont="1" applyFill="1" applyBorder="1" applyAlignment="1">
      <alignment vertical="top" wrapText="1"/>
    </xf>
    <xf numFmtId="41" fontId="11" fillId="5" borderId="2" xfId="1" applyNumberFormat="1" applyFont="1" applyFill="1" applyBorder="1" applyAlignment="1">
      <alignment vertical="top" wrapText="1"/>
    </xf>
    <xf numFmtId="41" fontId="9" fillId="6" borderId="2" xfId="1" applyNumberFormat="1" applyFont="1" applyFill="1" applyBorder="1" applyAlignment="1"/>
    <xf numFmtId="41" fontId="9" fillId="0" borderId="2" xfId="1" applyNumberFormat="1" applyFont="1" applyFill="1" applyBorder="1" applyAlignment="1"/>
    <xf numFmtId="41" fontId="9" fillId="6" borderId="2" xfId="1" applyNumberFormat="1" applyFont="1" applyFill="1" applyBorder="1" applyAlignment="1">
      <alignment vertical="top"/>
    </xf>
    <xf numFmtId="41" fontId="9" fillId="0" borderId="2" xfId="5" applyNumberFormat="1" applyFont="1" applyFill="1" applyBorder="1" applyAlignment="1"/>
    <xf numFmtId="41" fontId="9" fillId="0" borderId="2" xfId="1" applyNumberFormat="1" applyFont="1" applyFill="1" applyBorder="1" applyAlignment="1">
      <alignment vertical="top" wrapText="1"/>
    </xf>
    <xf numFmtId="41" fontId="11" fillId="5" borderId="2" xfId="1" applyNumberFormat="1" applyFont="1" applyFill="1" applyBorder="1" applyAlignment="1">
      <alignment vertical="top"/>
    </xf>
    <xf numFmtId="41" fontId="9" fillId="0" borderId="2" xfId="1" applyNumberFormat="1" applyFont="1" applyFill="1" applyBorder="1" applyAlignment="1">
      <alignment vertical="top"/>
    </xf>
    <xf numFmtId="41" fontId="9" fillId="0" borderId="16" xfId="1" applyNumberFormat="1" applyFont="1" applyFill="1" applyBorder="1" applyAlignment="1">
      <alignment vertical="top"/>
    </xf>
    <xf numFmtId="9" fontId="11" fillId="4" borderId="12" xfId="3" applyFont="1" applyFill="1" applyBorder="1" applyAlignment="1">
      <alignment horizontal="center" vertical="top" wrapText="1"/>
    </xf>
    <xf numFmtId="43" fontId="11" fillId="4" borderId="7" xfId="1" applyFont="1" applyFill="1" applyBorder="1" applyAlignment="1">
      <alignment horizontal="center" vertical="top" wrapText="1"/>
    </xf>
    <xf numFmtId="9" fontId="11" fillId="5" borderId="12" xfId="3" applyFont="1" applyFill="1" applyBorder="1" applyAlignment="1">
      <alignment horizontal="center" vertical="top" wrapText="1"/>
    </xf>
    <xf numFmtId="43" fontId="11" fillId="5" borderId="7" xfId="1" applyFont="1" applyFill="1" applyBorder="1" applyAlignment="1">
      <alignment horizontal="center" vertical="top" wrapText="1"/>
    </xf>
    <xf numFmtId="9" fontId="9" fillId="6" borderId="12" xfId="3" applyFont="1" applyFill="1" applyBorder="1" applyAlignment="1">
      <alignment horizontal="center" vertical="top" wrapText="1"/>
    </xf>
    <xf numFmtId="43" fontId="9" fillId="6" borderId="7" xfId="1" applyFont="1" applyFill="1" applyBorder="1" applyAlignment="1">
      <alignment horizontal="center" vertical="top"/>
    </xf>
    <xf numFmtId="9" fontId="9" fillId="0" borderId="12" xfId="3" applyFont="1" applyFill="1" applyBorder="1" applyAlignment="1">
      <alignment horizontal="center" vertical="top" wrapText="1"/>
    </xf>
    <xf numFmtId="43" fontId="9" fillId="0" borderId="7" xfId="1" applyFont="1" applyFill="1" applyBorder="1" applyAlignment="1">
      <alignment horizontal="center"/>
    </xf>
    <xf numFmtId="43" fontId="11" fillId="5" borderId="7" xfId="1" applyFont="1" applyFill="1" applyBorder="1" applyAlignment="1">
      <alignment horizontal="center" vertical="top"/>
    </xf>
    <xf numFmtId="43" fontId="9" fillId="0" borderId="7" xfId="1" applyFont="1" applyFill="1" applyBorder="1" applyAlignment="1">
      <alignment horizontal="center" vertical="top"/>
    </xf>
    <xf numFmtId="9" fontId="9" fillId="0" borderId="15" xfId="3" applyFont="1" applyFill="1" applyBorder="1" applyAlignment="1">
      <alignment horizontal="center" vertical="top" wrapText="1"/>
    </xf>
    <xf numFmtId="43" fontId="9" fillId="0" borderId="10" xfId="1" applyFont="1" applyFill="1" applyBorder="1" applyAlignment="1">
      <alignment horizontal="center" vertical="top"/>
    </xf>
    <xf numFmtId="164" fontId="11" fillId="4" borderId="13" xfId="5" applyNumberFormat="1" applyFont="1" applyFill="1" applyBorder="1" applyAlignment="1">
      <alignment horizontal="center" vertical="top" wrapText="1"/>
    </xf>
    <xf numFmtId="164" fontId="11" fillId="4" borderId="2" xfId="5" applyNumberFormat="1" applyFont="1" applyFill="1" applyBorder="1" applyAlignment="1">
      <alignment horizontal="center" vertical="top" wrapText="1"/>
    </xf>
    <xf numFmtId="164" fontId="11" fillId="4" borderId="0" xfId="5" applyNumberFormat="1" applyFont="1" applyFill="1" applyBorder="1" applyAlignment="1">
      <alignment horizontal="center" vertical="top" wrapText="1"/>
    </xf>
    <xf numFmtId="164" fontId="11" fillId="5" borderId="13" xfId="1" applyNumberFormat="1" applyFont="1" applyFill="1" applyBorder="1" applyAlignment="1">
      <alignment horizontal="center" vertical="top" wrapText="1"/>
    </xf>
    <xf numFmtId="164" fontId="11" fillId="5" borderId="2" xfId="1" applyNumberFormat="1" applyFont="1" applyFill="1" applyBorder="1" applyAlignment="1">
      <alignment horizontal="center" vertical="top" wrapText="1"/>
    </xf>
    <xf numFmtId="164" fontId="11" fillId="5" borderId="0" xfId="1" applyNumberFormat="1" applyFont="1" applyFill="1" applyBorder="1" applyAlignment="1">
      <alignment horizontal="center" vertical="top" wrapText="1"/>
    </xf>
    <xf numFmtId="164" fontId="9" fillId="6" borderId="13" xfId="1" applyNumberFormat="1" applyFont="1" applyFill="1" applyBorder="1" applyAlignment="1">
      <alignment horizontal="center" vertical="top"/>
    </xf>
    <xf numFmtId="164" fontId="9" fillId="6" borderId="2" xfId="1" applyNumberFormat="1" applyFont="1" applyFill="1" applyBorder="1" applyAlignment="1">
      <alignment horizontal="center" vertical="top"/>
    </xf>
    <xf numFmtId="164" fontId="9" fillId="6" borderId="0" xfId="1" applyNumberFormat="1" applyFont="1" applyFill="1" applyBorder="1" applyAlignment="1">
      <alignment horizontal="center" vertical="top"/>
    </xf>
    <xf numFmtId="164" fontId="9" fillId="0" borderId="13" xfId="1" applyNumberFormat="1" applyFont="1" applyFill="1" applyBorder="1" applyAlignment="1">
      <alignment horizontal="center"/>
    </xf>
    <xf numFmtId="164" fontId="9" fillId="0" borderId="2" xfId="1" applyNumberFormat="1" applyFont="1" applyFill="1" applyBorder="1" applyAlignment="1">
      <alignment horizontal="center"/>
    </xf>
    <xf numFmtId="164" fontId="11" fillId="5" borderId="13" xfId="1" applyNumberFormat="1" applyFont="1" applyFill="1" applyBorder="1" applyAlignment="1">
      <alignment horizontal="center" vertical="top"/>
    </xf>
    <xf numFmtId="164" fontId="11" fillId="5" borderId="2" xfId="1" applyNumberFormat="1" applyFont="1" applyFill="1" applyBorder="1" applyAlignment="1">
      <alignment horizontal="center" vertical="top"/>
    </xf>
    <xf numFmtId="164" fontId="11" fillId="5" borderId="0" xfId="1" applyNumberFormat="1" applyFont="1" applyFill="1" applyBorder="1" applyAlignment="1">
      <alignment horizontal="center" vertical="top"/>
    </xf>
    <xf numFmtId="164" fontId="9" fillId="0" borderId="13" xfId="1" applyNumberFormat="1" applyFont="1" applyFill="1" applyBorder="1" applyAlignment="1">
      <alignment horizontal="center" vertical="top"/>
    </xf>
    <xf numFmtId="164" fontId="9" fillId="0" borderId="2" xfId="1" applyNumberFormat="1" applyFont="1" applyFill="1" applyBorder="1" applyAlignment="1">
      <alignment horizontal="center" vertical="top"/>
    </xf>
    <xf numFmtId="164" fontId="9" fillId="0" borderId="14" xfId="1" applyNumberFormat="1" applyFont="1" applyFill="1" applyBorder="1" applyAlignment="1">
      <alignment horizontal="center"/>
    </xf>
    <xf numFmtId="164" fontId="9" fillId="0" borderId="16" xfId="1" applyNumberFormat="1" applyFont="1" applyFill="1" applyBorder="1" applyAlignment="1">
      <alignment horizontal="center"/>
    </xf>
    <xf numFmtId="164" fontId="9" fillId="0" borderId="16" xfId="1" applyNumberFormat="1" applyFont="1" applyFill="1" applyBorder="1" applyAlignment="1">
      <alignment horizontal="center" vertical="top"/>
    </xf>
    <xf numFmtId="164" fontId="9" fillId="0" borderId="9" xfId="1" applyNumberFormat="1" applyFont="1" applyFill="1" applyBorder="1" applyAlignment="1">
      <alignment horizontal="center" vertical="top"/>
    </xf>
    <xf numFmtId="43" fontId="9" fillId="0" borderId="21" xfId="1" applyFont="1" applyFill="1" applyBorder="1" applyAlignment="1">
      <alignment horizontal="center" vertical="center" wrapText="1"/>
    </xf>
    <xf numFmtId="43" fontId="9" fillId="0" borderId="25" xfId="1" applyFont="1" applyFill="1" applyBorder="1" applyAlignment="1">
      <alignment horizontal="center" vertical="center" wrapText="1"/>
    </xf>
    <xf numFmtId="43" fontId="9" fillId="0" borderId="12" xfId="1" applyFont="1" applyFill="1" applyBorder="1" applyAlignment="1">
      <alignment horizontal="center" vertical="top" wrapText="1"/>
    </xf>
    <xf numFmtId="164" fontId="9" fillId="0" borderId="7" xfId="1" applyNumberFormat="1" applyFont="1" applyFill="1" applyBorder="1" applyAlignment="1">
      <alignment vertical="top"/>
    </xf>
    <xf numFmtId="164" fontId="9" fillId="0" borderId="7" xfId="1" applyNumberFormat="1" applyFont="1" applyFill="1" applyBorder="1"/>
    <xf numFmtId="164" fontId="9" fillId="0" borderId="10" xfId="1" applyNumberFormat="1" applyFont="1" applyFill="1" applyBorder="1"/>
    <xf numFmtId="164" fontId="11" fillId="5" borderId="7" xfId="1" applyNumberFormat="1" applyFont="1" applyFill="1" applyBorder="1" applyAlignment="1">
      <alignment vertical="top"/>
    </xf>
    <xf numFmtId="164" fontId="11" fillId="4" borderId="7" xfId="5" applyNumberFormat="1" applyFont="1" applyFill="1" applyBorder="1" applyAlignment="1">
      <alignment vertical="top" wrapText="1"/>
    </xf>
    <xf numFmtId="164" fontId="11" fillId="5" borderId="7" xfId="1" applyNumberFormat="1" applyFont="1" applyFill="1" applyBorder="1" applyAlignment="1">
      <alignment vertical="top" wrapText="1"/>
    </xf>
    <xf numFmtId="164" fontId="9" fillId="6" borderId="7" xfId="1" applyNumberFormat="1" applyFont="1" applyFill="1" applyBorder="1" applyAlignment="1">
      <alignment vertical="top"/>
    </xf>
    <xf numFmtId="164" fontId="11" fillId="4" borderId="13" xfId="1" applyNumberFormat="1" applyFont="1" applyFill="1" applyBorder="1" applyAlignment="1">
      <alignment vertical="top" wrapText="1"/>
    </xf>
    <xf numFmtId="164" fontId="11" fillId="5" borderId="13" xfId="1" applyNumberFormat="1" applyFont="1" applyFill="1" applyBorder="1" applyAlignment="1">
      <alignment vertical="top" wrapText="1"/>
    </xf>
    <xf numFmtId="164" fontId="9" fillId="6" borderId="13" xfId="1" applyNumberFormat="1" applyFont="1" applyFill="1" applyBorder="1" applyAlignment="1">
      <alignment vertical="top"/>
    </xf>
    <xf numFmtId="164" fontId="9" fillId="0" borderId="13" xfId="1" applyNumberFormat="1" applyFont="1" applyFill="1" applyBorder="1"/>
    <xf numFmtId="164" fontId="9" fillId="0" borderId="13" xfId="1" applyNumberFormat="1" applyFont="1" applyFill="1" applyBorder="1" applyAlignment="1">
      <alignment vertical="top"/>
    </xf>
    <xf numFmtId="164" fontId="11" fillId="5" borderId="13" xfId="1" applyNumberFormat="1" applyFont="1" applyFill="1" applyBorder="1" applyAlignment="1">
      <alignment vertical="top"/>
    </xf>
    <xf numFmtId="164" fontId="9" fillId="0" borderId="14" xfId="1" applyNumberFormat="1" applyFont="1" applyFill="1" applyBorder="1" applyAlignment="1">
      <alignment vertical="top"/>
    </xf>
    <xf numFmtId="43" fontId="9" fillId="0" borderId="13" xfId="1" applyFont="1" applyFill="1" applyBorder="1" applyAlignment="1">
      <alignment horizontal="center" vertical="center" wrapText="1"/>
    </xf>
    <xf numFmtId="43" fontId="9" fillId="0" borderId="7" xfId="1" applyFont="1" applyFill="1" applyBorder="1" applyAlignment="1">
      <alignment horizontal="center" vertical="center"/>
    </xf>
    <xf numFmtId="44" fontId="9" fillId="0" borderId="0" xfId="2" applyFont="1" applyFill="1" applyBorder="1" applyAlignment="1">
      <alignment horizontal="center" vertical="center" wrapText="1"/>
    </xf>
    <xf numFmtId="44" fontId="9" fillId="0" borderId="0" xfId="2" applyFont="1" applyFill="1" applyBorder="1"/>
    <xf numFmtId="170" fontId="9" fillId="0" borderId="0" xfId="0" applyNumberFormat="1" applyFont="1" applyFill="1" applyBorder="1" applyAlignment="1">
      <alignment horizontal="right"/>
    </xf>
    <xf numFmtId="170" fontId="9" fillId="0" borderId="0" xfId="2" applyNumberFormat="1" applyFont="1" applyFill="1" applyBorder="1" applyAlignment="1">
      <alignment horizontal="right" vertical="top" wrapText="1"/>
    </xf>
    <xf numFmtId="170" fontId="9" fillId="0" borderId="0" xfId="2" applyNumberFormat="1" applyFont="1" applyFill="1" applyBorder="1" applyAlignment="1">
      <alignment horizontal="right"/>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170" fontId="9" fillId="0" borderId="6" xfId="2" applyNumberFormat="1" applyFont="1" applyFill="1" applyBorder="1" applyAlignment="1">
      <alignment horizontal="right" vertical="top" wrapText="1"/>
    </xf>
    <xf numFmtId="170" fontId="9" fillId="0" borderId="7" xfId="2" applyNumberFormat="1" applyFont="1" applyFill="1" applyBorder="1" applyAlignment="1">
      <alignment horizontal="right"/>
    </xf>
    <xf numFmtId="44" fontId="9" fillId="0" borderId="6" xfId="2" applyFont="1" applyFill="1" applyBorder="1" applyAlignment="1">
      <alignment horizontal="center" vertical="center" wrapText="1"/>
    </xf>
    <xf numFmtId="44" fontId="9" fillId="0" borderId="7" xfId="2" applyFont="1" applyFill="1" applyBorder="1" applyAlignment="1">
      <alignment horizontal="center" vertical="center" wrapText="1"/>
    </xf>
    <xf numFmtId="170" fontId="9" fillId="0" borderId="6" xfId="2" applyNumberFormat="1" applyFont="1" applyFill="1" applyBorder="1" applyAlignment="1">
      <alignment horizontal="right"/>
    </xf>
    <xf numFmtId="170" fontId="9" fillId="0" borderId="6" xfId="0" applyNumberFormat="1" applyFont="1" applyFill="1" applyBorder="1" applyAlignment="1">
      <alignment horizontal="right"/>
    </xf>
    <xf numFmtId="44" fontId="11" fillId="4" borderId="0" xfId="2" applyFont="1" applyFill="1" applyBorder="1" applyAlignment="1">
      <alignment horizontal="left" vertical="top" wrapText="1"/>
    </xf>
    <xf numFmtId="170" fontId="11" fillId="4" borderId="6" xfId="2" applyNumberFormat="1" applyFont="1" applyFill="1" applyBorder="1" applyAlignment="1">
      <alignment horizontal="right" vertical="top" wrapText="1"/>
    </xf>
    <xf numFmtId="170" fontId="11" fillId="4" borderId="0" xfId="2" applyNumberFormat="1" applyFont="1" applyFill="1" applyBorder="1" applyAlignment="1">
      <alignment horizontal="right" vertical="top" wrapText="1"/>
    </xf>
    <xf numFmtId="170" fontId="11" fillId="4" borderId="7" xfId="2" applyNumberFormat="1" applyFont="1" applyFill="1" applyBorder="1" applyAlignment="1">
      <alignment horizontal="right" vertical="top" wrapText="1"/>
    </xf>
    <xf numFmtId="44" fontId="11" fillId="5" borderId="0" xfId="2" applyFont="1" applyFill="1" applyBorder="1"/>
    <xf numFmtId="170" fontId="11" fillId="5" borderId="6" xfId="2" applyNumberFormat="1" applyFont="1" applyFill="1" applyBorder="1" applyAlignment="1">
      <alignment horizontal="right" vertical="top" wrapText="1"/>
    </xf>
    <xf numFmtId="170" fontId="11" fillId="5" borderId="0" xfId="2" applyNumberFormat="1" applyFont="1" applyFill="1" applyBorder="1" applyAlignment="1">
      <alignment horizontal="right"/>
    </xf>
    <xf numFmtId="170" fontId="11" fillId="5" borderId="0" xfId="2" applyNumberFormat="1" applyFont="1" applyFill="1" applyBorder="1" applyAlignment="1">
      <alignment horizontal="right" vertical="top" wrapText="1"/>
    </xf>
    <xf numFmtId="170" fontId="11" fillId="5" borderId="7" xfId="2" applyNumberFormat="1" applyFont="1" applyFill="1" applyBorder="1" applyAlignment="1">
      <alignment horizontal="right"/>
    </xf>
    <xf numFmtId="170" fontId="11" fillId="5" borderId="6" xfId="2" applyNumberFormat="1" applyFont="1" applyFill="1" applyBorder="1" applyAlignment="1">
      <alignment horizontal="right"/>
    </xf>
    <xf numFmtId="0" fontId="11" fillId="5" borderId="0" xfId="0" applyFont="1" applyFill="1" applyBorder="1" applyAlignment="1">
      <alignment horizontal="right" vertical="top" wrapText="1"/>
    </xf>
    <xf numFmtId="0" fontId="11" fillId="5" borderId="0" xfId="0" applyFont="1" applyFill="1" applyBorder="1"/>
    <xf numFmtId="170" fontId="11" fillId="5" borderId="0" xfId="0" applyNumberFormat="1" applyFont="1" applyFill="1" applyBorder="1" applyAlignment="1">
      <alignment horizontal="right"/>
    </xf>
    <xf numFmtId="170" fontId="11" fillId="5" borderId="6" xfId="0" applyNumberFormat="1" applyFont="1" applyFill="1" applyBorder="1" applyAlignment="1">
      <alignment horizontal="right"/>
    </xf>
    <xf numFmtId="170" fontId="11" fillId="5" borderId="7" xfId="0" applyNumberFormat="1" applyFont="1" applyFill="1" applyBorder="1" applyAlignment="1">
      <alignment horizontal="right"/>
    </xf>
    <xf numFmtId="0" fontId="9" fillId="6" borderId="0" xfId="0" applyFont="1" applyFill="1" applyBorder="1" applyAlignment="1">
      <alignment horizontal="right"/>
    </xf>
    <xf numFmtId="44" fontId="9" fillId="6" borderId="0" xfId="2" applyFont="1" applyFill="1" applyBorder="1"/>
    <xf numFmtId="170" fontId="9" fillId="6" borderId="6" xfId="2" applyNumberFormat="1" applyFont="1" applyFill="1" applyBorder="1" applyAlignment="1">
      <alignment horizontal="right" vertical="top" wrapText="1"/>
    </xf>
    <xf numFmtId="170" fontId="9" fillId="6" borderId="0" xfId="2" applyNumberFormat="1" applyFont="1" applyFill="1" applyBorder="1" applyAlignment="1">
      <alignment horizontal="right"/>
    </xf>
    <xf numFmtId="170" fontId="9" fillId="6" borderId="0" xfId="2" applyNumberFormat="1" applyFont="1" applyFill="1" applyBorder="1" applyAlignment="1">
      <alignment horizontal="right" vertical="top" wrapText="1"/>
    </xf>
    <xf numFmtId="170" fontId="9" fillId="6" borderId="7" xfId="2" applyNumberFormat="1" applyFont="1" applyFill="1" applyBorder="1" applyAlignment="1">
      <alignment horizontal="right"/>
    </xf>
    <xf numFmtId="170" fontId="9" fillId="6" borderId="6" xfId="2" applyNumberFormat="1" applyFont="1" applyFill="1" applyBorder="1" applyAlignment="1">
      <alignment horizontal="right"/>
    </xf>
    <xf numFmtId="44" fontId="9" fillId="6" borderId="0" xfId="0" applyNumberFormat="1" applyFont="1" applyFill="1" applyBorder="1"/>
    <xf numFmtId="170" fontId="9" fillId="6" borderId="0" xfId="0" applyNumberFormat="1" applyFont="1" applyFill="1" applyBorder="1" applyAlignment="1">
      <alignment horizontal="right"/>
    </xf>
    <xf numFmtId="170" fontId="9" fillId="6" borderId="6" xfId="0" applyNumberFormat="1" applyFont="1" applyFill="1" applyBorder="1" applyAlignment="1">
      <alignment horizontal="right"/>
    </xf>
    <xf numFmtId="170" fontId="9" fillId="6" borderId="7" xfId="0" applyNumberFormat="1" applyFont="1" applyFill="1" applyBorder="1" applyAlignment="1">
      <alignment horizontal="right"/>
    </xf>
    <xf numFmtId="0" fontId="11" fillId="0" borderId="0" xfId="0" applyFont="1" applyFill="1" applyBorder="1" applyAlignment="1">
      <alignment horizontal="right"/>
    </xf>
    <xf numFmtId="0" fontId="11" fillId="0" borderId="0" xfId="0" applyFont="1" applyFill="1" applyBorder="1"/>
    <xf numFmtId="44" fontId="6" fillId="0" borderId="0" xfId="2" applyFont="1"/>
    <xf numFmtId="44" fontId="6" fillId="0" borderId="0" xfId="0" applyNumberFormat="1" applyFont="1"/>
    <xf numFmtId="170" fontId="11" fillId="5" borderId="6" xfId="2" applyNumberFormat="1" applyFont="1" applyFill="1" applyBorder="1"/>
    <xf numFmtId="170" fontId="11" fillId="5" borderId="7" xfId="2" applyNumberFormat="1" applyFont="1" applyFill="1" applyBorder="1"/>
    <xf numFmtId="170" fontId="9" fillId="6" borderId="6" xfId="2" applyNumberFormat="1" applyFont="1" applyFill="1" applyBorder="1"/>
    <xf numFmtId="170" fontId="9" fillId="6" borderId="7" xfId="2" applyNumberFormat="1" applyFont="1" applyFill="1" applyBorder="1"/>
    <xf numFmtId="170" fontId="9" fillId="0" borderId="6" xfId="2" applyNumberFormat="1" applyFont="1" applyFill="1" applyBorder="1"/>
    <xf numFmtId="170" fontId="9" fillId="0" borderId="7" xfId="2" applyNumberFormat="1" applyFont="1" applyFill="1" applyBorder="1"/>
    <xf numFmtId="170" fontId="6" fillId="0" borderId="6" xfId="2" applyNumberFormat="1" applyFont="1" applyBorder="1"/>
    <xf numFmtId="170" fontId="6" fillId="0" borderId="7" xfId="2" applyNumberFormat="1" applyFont="1" applyBorder="1"/>
    <xf numFmtId="170" fontId="11" fillId="5" borderId="6" xfId="0" applyNumberFormat="1" applyFont="1" applyFill="1" applyBorder="1"/>
    <xf numFmtId="170" fontId="11" fillId="5" borderId="7" xfId="0" applyNumberFormat="1" applyFont="1" applyFill="1" applyBorder="1"/>
    <xf numFmtId="170" fontId="9" fillId="6" borderId="6" xfId="0" applyNumberFormat="1" applyFont="1" applyFill="1" applyBorder="1"/>
    <xf numFmtId="170" fontId="9" fillId="6" borderId="7" xfId="0" applyNumberFormat="1" applyFont="1" applyFill="1" applyBorder="1"/>
    <xf numFmtId="0" fontId="6" fillId="0" borderId="0" xfId="0" applyFont="1" applyBorder="1" applyAlignment="1">
      <alignment vertical="center" wrapText="1"/>
    </xf>
    <xf numFmtId="164" fontId="7" fillId="0" borderId="0" xfId="0" applyNumberFormat="1" applyFont="1" applyAlignment="1">
      <alignment vertical="center"/>
    </xf>
    <xf numFmtId="164" fontId="6" fillId="0" borderId="0" xfId="0" applyNumberFormat="1" applyFont="1" applyBorder="1" applyAlignment="1">
      <alignment horizontal="right" vertical="center"/>
    </xf>
    <xf numFmtId="164" fontId="7" fillId="5" borderId="12" xfId="3" applyNumberFormat="1" applyFont="1" applyFill="1" applyBorder="1" applyAlignment="1">
      <alignment horizontal="center" vertical="center"/>
    </xf>
    <xf numFmtId="164" fontId="6" fillId="0" borderId="12" xfId="3" applyNumberFormat="1" applyFont="1" applyBorder="1" applyAlignment="1">
      <alignment horizontal="center" vertical="center"/>
    </xf>
    <xf numFmtId="164" fontId="6" fillId="6" borderId="12" xfId="3" applyNumberFormat="1" applyFont="1" applyFill="1" applyBorder="1" applyAlignment="1">
      <alignment horizontal="center" vertical="center"/>
    </xf>
    <xf numFmtId="164" fontId="7" fillId="4" borderId="36" xfId="0" applyNumberFormat="1" applyFont="1" applyFill="1" applyBorder="1" applyAlignment="1">
      <alignment horizontal="right" vertical="center" wrapText="1"/>
    </xf>
    <xf numFmtId="164" fontId="7" fillId="5" borderId="13" xfId="3" applyNumberFormat="1" applyFont="1" applyFill="1" applyBorder="1" applyAlignment="1">
      <alignment horizontal="center" vertical="center"/>
    </xf>
    <xf numFmtId="164" fontId="7" fillId="5" borderId="36" xfId="0" applyNumberFormat="1" applyFont="1" applyFill="1" applyBorder="1" applyAlignment="1">
      <alignment horizontal="right" vertical="center" wrapText="1"/>
    </xf>
    <xf numFmtId="164" fontId="7" fillId="6" borderId="36" xfId="1" applyNumberFormat="1" applyFont="1" applyFill="1" applyBorder="1" applyAlignment="1">
      <alignment horizontal="right" vertical="center"/>
    </xf>
    <xf numFmtId="164" fontId="6" fillId="0" borderId="13" xfId="3" applyNumberFormat="1" applyFont="1" applyBorder="1" applyAlignment="1">
      <alignment horizontal="center" vertical="center"/>
    </xf>
    <xf numFmtId="164" fontId="6" fillId="0" borderId="36" xfId="1" applyNumberFormat="1" applyFont="1" applyBorder="1" applyAlignment="1">
      <alignment horizontal="right" vertical="center"/>
    </xf>
    <xf numFmtId="164" fontId="6" fillId="6" borderId="13" xfId="3" applyNumberFormat="1" applyFont="1" applyFill="1" applyBorder="1" applyAlignment="1">
      <alignment horizontal="center" vertical="center"/>
    </xf>
    <xf numFmtId="164" fontId="6" fillId="0" borderId="36" xfId="1" applyNumberFormat="1" applyFont="1" applyFill="1" applyBorder="1" applyAlignment="1">
      <alignment horizontal="right" vertical="center"/>
    </xf>
    <xf numFmtId="164" fontId="6" fillId="6" borderId="36" xfId="1" applyNumberFormat="1" applyFont="1" applyFill="1" applyBorder="1" applyAlignment="1">
      <alignment horizontal="right" vertical="center"/>
    </xf>
    <xf numFmtId="0" fontId="7" fillId="5" borderId="36" xfId="0" applyFont="1" applyFill="1" applyBorder="1" applyAlignment="1">
      <alignment horizontal="right" vertical="center" wrapText="1"/>
    </xf>
    <xf numFmtId="0" fontId="7" fillId="6" borderId="36" xfId="0" applyFont="1" applyFill="1" applyBorder="1" applyAlignment="1">
      <alignment horizontal="right" vertical="center" wrapText="1"/>
    </xf>
    <xf numFmtId="164" fontId="6" fillId="0" borderId="36" xfId="0" applyNumberFormat="1" applyFont="1" applyBorder="1" applyAlignment="1">
      <alignment horizontal="right" vertical="center"/>
    </xf>
    <xf numFmtId="0" fontId="6" fillId="0" borderId="36" xfId="0" applyFont="1" applyBorder="1" applyAlignment="1">
      <alignment horizontal="right" vertical="center" wrapText="1"/>
    </xf>
    <xf numFmtId="164" fontId="6" fillId="0" borderId="14" xfId="3" applyNumberFormat="1" applyFont="1" applyBorder="1" applyAlignment="1">
      <alignment horizontal="center" vertical="center"/>
    </xf>
    <xf numFmtId="0" fontId="6" fillId="0" borderId="37" xfId="0" applyFont="1" applyBorder="1" applyAlignment="1">
      <alignment horizontal="right" vertical="center" wrapText="1"/>
    </xf>
    <xf numFmtId="0" fontId="7" fillId="4" borderId="13" xfId="3" applyNumberFormat="1" applyFont="1" applyFill="1" applyBorder="1" applyAlignment="1">
      <alignment horizontal="center" vertical="center"/>
    </xf>
    <xf numFmtId="0" fontId="6" fillId="0" borderId="7" xfId="0" applyFont="1" applyFill="1" applyBorder="1" applyAlignment="1">
      <alignment horizontal="center" vertical="center" wrapText="1"/>
    </xf>
    <xf numFmtId="0" fontId="12" fillId="0" borderId="34" xfId="0" applyFont="1" applyBorder="1" applyAlignment="1">
      <alignment horizontal="right" vertical="center" wrapText="1"/>
    </xf>
    <xf numFmtId="0" fontId="12" fillId="0" borderId="7" xfId="0" applyFont="1" applyBorder="1" applyAlignment="1">
      <alignment vertical="center" wrapText="1"/>
    </xf>
    <xf numFmtId="0" fontId="12" fillId="0" borderId="25" xfId="0" applyFont="1" applyBorder="1" applyAlignment="1">
      <alignment vertical="center" wrapText="1"/>
    </xf>
    <xf numFmtId="0" fontId="6" fillId="0" borderId="0" xfId="0" applyFont="1" applyBorder="1" applyAlignment="1">
      <alignment vertical="center"/>
    </xf>
    <xf numFmtId="0" fontId="12" fillId="0" borderId="26" xfId="0" applyFont="1" applyBorder="1" applyAlignment="1">
      <alignment vertical="center" wrapText="1"/>
    </xf>
    <xf numFmtId="164" fontId="7" fillId="4" borderId="0" xfId="0" applyNumberFormat="1" applyFont="1" applyFill="1" applyBorder="1" applyAlignment="1">
      <alignment horizontal="right" vertical="center" wrapText="1"/>
    </xf>
    <xf numFmtId="164" fontId="7" fillId="4" borderId="12" xfId="0" applyNumberFormat="1" applyFont="1" applyFill="1" applyBorder="1" applyAlignment="1">
      <alignment horizontal="right" vertical="center" wrapText="1"/>
    </xf>
    <xf numFmtId="0" fontId="7" fillId="5" borderId="12" xfId="0" applyFont="1" applyFill="1" applyBorder="1" applyAlignment="1">
      <alignment horizontal="right" vertical="center" wrapText="1"/>
    </xf>
    <xf numFmtId="0" fontId="7" fillId="6" borderId="12" xfId="0" applyFont="1" applyFill="1" applyBorder="1" applyAlignment="1">
      <alignment horizontal="right" vertical="center" wrapText="1"/>
    </xf>
    <xf numFmtId="164" fontId="6" fillId="0" borderId="12" xfId="0" applyNumberFormat="1" applyFont="1" applyBorder="1" applyAlignment="1">
      <alignment horizontal="right" vertical="center"/>
    </xf>
    <xf numFmtId="0" fontId="6" fillId="0" borderId="12" xfId="0" applyFont="1" applyBorder="1" applyAlignment="1">
      <alignment horizontal="right" vertical="center" wrapText="1"/>
    </xf>
    <xf numFmtId="0" fontId="7" fillId="0" borderId="33" xfId="0" applyFont="1" applyBorder="1" applyAlignment="1">
      <alignment horizontal="right" vertical="center"/>
    </xf>
    <xf numFmtId="0" fontId="6" fillId="0" borderId="6" xfId="0" applyFont="1" applyFill="1" applyBorder="1" applyAlignment="1">
      <alignment horizontal="right" vertical="center" wrapText="1"/>
    </xf>
    <xf numFmtId="0" fontId="7" fillId="4" borderId="6" xfId="0" applyFont="1" applyFill="1" applyBorder="1" applyAlignment="1">
      <alignment horizontal="right" vertical="center"/>
    </xf>
    <xf numFmtId="0" fontId="7" fillId="5" borderId="6" xfId="0" applyFont="1" applyFill="1" applyBorder="1" applyAlignment="1">
      <alignment horizontal="right" vertical="center"/>
    </xf>
    <xf numFmtId="0" fontId="7" fillId="6" borderId="6" xfId="0" applyFont="1" applyFill="1" applyBorder="1" applyAlignment="1">
      <alignment horizontal="right" vertical="center"/>
    </xf>
    <xf numFmtId="0" fontId="6" fillId="0" borderId="6" xfId="0" applyFont="1" applyBorder="1" applyAlignment="1">
      <alignment horizontal="right" vertical="center"/>
    </xf>
    <xf numFmtId="0" fontId="6" fillId="0" borderId="9" xfId="0" applyFont="1" applyBorder="1" applyAlignment="1">
      <alignment horizontal="right" vertical="center" wrapText="1"/>
    </xf>
    <xf numFmtId="0" fontId="6" fillId="0" borderId="15" xfId="0" applyFont="1" applyBorder="1" applyAlignment="1">
      <alignment horizontal="right" vertical="center" wrapText="1"/>
    </xf>
    <xf numFmtId="0" fontId="9" fillId="7" borderId="0" xfId="0" applyFont="1" applyFill="1" applyBorder="1" applyAlignment="1">
      <alignment horizontal="right"/>
    </xf>
    <xf numFmtId="44" fontId="9" fillId="7" borderId="0" xfId="2" applyFont="1" applyFill="1" applyBorder="1"/>
    <xf numFmtId="170" fontId="9" fillId="7" borderId="6" xfId="2" applyNumberFormat="1" applyFont="1" applyFill="1" applyBorder="1"/>
    <xf numFmtId="170" fontId="9" fillId="7" borderId="7" xfId="2" applyNumberFormat="1" applyFont="1" applyFill="1" applyBorder="1"/>
    <xf numFmtId="170" fontId="9" fillId="7" borderId="6" xfId="2" applyNumberFormat="1" applyFont="1" applyFill="1" applyBorder="1" applyAlignment="1">
      <alignment horizontal="right" vertical="top" wrapText="1"/>
    </xf>
    <xf numFmtId="170" fontId="9" fillId="7" borderId="0" xfId="2" applyNumberFormat="1" applyFont="1" applyFill="1" applyBorder="1" applyAlignment="1">
      <alignment horizontal="right"/>
    </xf>
    <xf numFmtId="170" fontId="9" fillId="7" borderId="0" xfId="2" applyNumberFormat="1" applyFont="1" applyFill="1" applyBorder="1" applyAlignment="1">
      <alignment horizontal="right" vertical="top" wrapText="1"/>
    </xf>
    <xf numFmtId="170" fontId="9" fillId="7" borderId="7" xfId="2" applyNumberFormat="1" applyFont="1" applyFill="1" applyBorder="1" applyAlignment="1">
      <alignment horizontal="right"/>
    </xf>
    <xf numFmtId="170" fontId="9" fillId="7" borderId="6" xfId="2" applyNumberFormat="1" applyFont="1" applyFill="1" applyBorder="1" applyAlignment="1">
      <alignment horizontal="right"/>
    </xf>
    <xf numFmtId="0" fontId="9" fillId="7" borderId="0" xfId="0" applyFont="1" applyFill="1" applyBorder="1"/>
    <xf numFmtId="170" fontId="9" fillId="7" borderId="8" xfId="2" applyNumberFormat="1" applyFont="1" applyFill="1" applyBorder="1"/>
    <xf numFmtId="170" fontId="9" fillId="7" borderId="10" xfId="2" applyNumberFormat="1" applyFont="1" applyFill="1" applyBorder="1"/>
    <xf numFmtId="170" fontId="9" fillId="7" borderId="8" xfId="2" applyNumberFormat="1" applyFont="1" applyFill="1" applyBorder="1" applyAlignment="1">
      <alignment horizontal="right" vertical="top" wrapText="1"/>
    </xf>
    <xf numFmtId="170" fontId="9" fillId="7" borderId="9" xfId="2" applyNumberFormat="1" applyFont="1" applyFill="1" applyBorder="1" applyAlignment="1">
      <alignment horizontal="right"/>
    </xf>
    <xf numFmtId="170" fontId="9" fillId="7" borderId="9" xfId="2" applyNumberFormat="1" applyFont="1" applyFill="1" applyBorder="1" applyAlignment="1">
      <alignment horizontal="right" vertical="top" wrapText="1"/>
    </xf>
    <xf numFmtId="170" fontId="9" fillId="7" borderId="10" xfId="2" applyNumberFormat="1" applyFont="1" applyFill="1" applyBorder="1" applyAlignment="1">
      <alignment horizontal="right"/>
    </xf>
    <xf numFmtId="170" fontId="9" fillId="7" borderId="8" xfId="2" applyNumberFormat="1" applyFont="1" applyFill="1" applyBorder="1" applyAlignment="1">
      <alignment horizontal="right"/>
    </xf>
    <xf numFmtId="0" fontId="9" fillId="7" borderId="0" xfId="0" applyFont="1" applyFill="1" applyBorder="1" applyAlignment="1">
      <alignment horizontal="right" vertical="center" wrapText="1"/>
    </xf>
    <xf numFmtId="164" fontId="9" fillId="7" borderId="13" xfId="1" applyNumberFormat="1" applyFont="1" applyFill="1" applyBorder="1" applyAlignment="1">
      <alignment horizontal="center"/>
    </xf>
    <xf numFmtId="164" fontId="9" fillId="7" borderId="2" xfId="1" applyNumberFormat="1" applyFont="1" applyFill="1" applyBorder="1" applyAlignment="1">
      <alignment horizontal="center"/>
    </xf>
    <xf numFmtId="164" fontId="9" fillId="7" borderId="2" xfId="1" applyNumberFormat="1" applyFont="1" applyFill="1" applyBorder="1" applyAlignment="1">
      <alignment horizontal="center" vertical="top"/>
    </xf>
    <xf numFmtId="164" fontId="9" fillId="7" borderId="0" xfId="1" applyNumberFormat="1" applyFont="1" applyFill="1" applyBorder="1" applyAlignment="1">
      <alignment horizontal="center" vertical="top"/>
    </xf>
    <xf numFmtId="9" fontId="9" fillId="7" borderId="12" xfId="3" applyFont="1" applyFill="1" applyBorder="1" applyAlignment="1">
      <alignment horizontal="center" vertical="top" wrapText="1"/>
    </xf>
    <xf numFmtId="43" fontId="9" fillId="7" borderId="7" xfId="1" applyFont="1" applyFill="1" applyBorder="1" applyAlignment="1">
      <alignment horizontal="center" vertical="top"/>
    </xf>
    <xf numFmtId="0" fontId="7" fillId="0" borderId="0" xfId="0" applyFont="1" applyAlignment="1">
      <alignment horizontal="right"/>
    </xf>
    <xf numFmtId="0" fontId="7" fillId="0" borderId="0" xfId="0" applyFont="1"/>
    <xf numFmtId="0" fontId="6" fillId="0" borderId="21" xfId="7" applyFont="1" applyBorder="1" applyAlignment="1">
      <alignment horizontal="center" vertical="center" wrapText="1"/>
    </xf>
    <xf numFmtId="0" fontId="6" fillId="0" borderId="25" xfId="7" applyFont="1" applyBorder="1" applyAlignment="1">
      <alignment horizontal="center" vertical="center" wrapText="1"/>
    </xf>
    <xf numFmtId="3" fontId="6" fillId="0" borderId="7" xfId="7" applyNumberFormat="1" applyFont="1" applyBorder="1" applyAlignment="1">
      <alignment horizontal="center" vertical="center" wrapText="1"/>
    </xf>
    <xf numFmtId="2" fontId="6" fillId="0" borderId="25" xfId="0" applyNumberFormat="1" applyFont="1" applyBorder="1" applyAlignment="1">
      <alignment horizontal="center" vertical="center" wrapText="1"/>
    </xf>
    <xf numFmtId="164" fontId="6" fillId="0" borderId="7" xfId="1" applyNumberFormat="1" applyFont="1" applyBorder="1" applyAlignment="1">
      <alignment horizontal="center" vertical="center" wrapText="1"/>
    </xf>
    <xf numFmtId="0" fontId="6" fillId="0" borderId="0" xfId="7" applyFont="1" applyAlignment="1">
      <alignment horizontal="center" vertical="center" wrapText="1"/>
    </xf>
    <xf numFmtId="0" fontId="6" fillId="0" borderId="26" xfId="7" applyFont="1" applyBorder="1" applyAlignment="1">
      <alignment horizontal="center" vertical="center" wrapText="1"/>
    </xf>
    <xf numFmtId="43" fontId="7" fillId="4" borderId="0" xfId="0" applyNumberFormat="1" applyFont="1" applyFill="1" applyAlignment="1">
      <alignment horizontal="right" vertical="top"/>
    </xf>
    <xf numFmtId="43" fontId="7" fillId="4" borderId="2" xfId="1" applyFont="1" applyFill="1" applyBorder="1" applyAlignment="1">
      <alignment horizontal="center" vertical="center"/>
    </xf>
    <xf numFmtId="43" fontId="7" fillId="4" borderId="0" xfId="1" applyFont="1" applyFill="1" applyAlignment="1">
      <alignment horizontal="center" vertical="center"/>
    </xf>
    <xf numFmtId="43" fontId="6" fillId="0" borderId="0" xfId="0" applyNumberFormat="1" applyFont="1"/>
    <xf numFmtId="43" fontId="7" fillId="5" borderId="0" xfId="0" applyNumberFormat="1" applyFont="1" applyFill="1" applyAlignment="1">
      <alignment horizontal="right" vertical="top"/>
    </xf>
    <xf numFmtId="43" fontId="7" fillId="5" borderId="13" xfId="1" applyFont="1" applyFill="1" applyBorder="1" applyAlignment="1">
      <alignment horizontal="center" vertical="center"/>
    </xf>
    <xf numFmtId="43" fontId="7" fillId="5" borderId="2" xfId="1" applyFont="1" applyFill="1" applyBorder="1" applyAlignment="1">
      <alignment horizontal="center" vertical="center"/>
    </xf>
    <xf numFmtId="43" fontId="7" fillId="5" borderId="0" xfId="1" applyFont="1" applyFill="1" applyAlignment="1">
      <alignment horizontal="center" vertical="center"/>
    </xf>
    <xf numFmtId="43" fontId="6" fillId="6" borderId="0" xfId="0" applyNumberFormat="1" applyFont="1" applyFill="1" applyAlignment="1">
      <alignment horizontal="right"/>
    </xf>
    <xf numFmtId="43" fontId="6" fillId="6" borderId="13" xfId="1" applyFont="1" applyFill="1" applyBorder="1" applyAlignment="1">
      <alignment horizontal="center" vertical="center"/>
    </xf>
    <xf numFmtId="43" fontId="6" fillId="6" borderId="2" xfId="1" applyFont="1" applyFill="1" applyBorder="1" applyAlignment="1">
      <alignment horizontal="center" vertical="center"/>
    </xf>
    <xf numFmtId="43" fontId="6" fillId="6" borderId="0" xfId="1" applyFont="1" applyFill="1" applyAlignment="1">
      <alignment horizontal="center" vertical="center"/>
    </xf>
    <xf numFmtId="43" fontId="7" fillId="5" borderId="0" xfId="0" applyNumberFormat="1" applyFont="1" applyFill="1" applyAlignment="1">
      <alignment horizontal="right" vertical="top" wrapText="1"/>
    </xf>
    <xf numFmtId="0" fontId="6" fillId="0" borderId="0" xfId="0" applyFont="1" applyAlignment="1">
      <alignment horizontal="right"/>
    </xf>
    <xf numFmtId="0" fontId="6" fillId="0" borderId="0" xfId="0" applyFont="1" applyAlignment="1">
      <alignment horizontal="center"/>
    </xf>
    <xf numFmtId="3" fontId="6" fillId="0" borderId="0" xfId="0" applyNumberFormat="1" applyFont="1" applyAlignment="1">
      <alignment horizontal="center"/>
    </xf>
    <xf numFmtId="0" fontId="6" fillId="0" borderId="0" xfId="0" applyFont="1"/>
    <xf numFmtId="164" fontId="7" fillId="6" borderId="6" xfId="0" applyNumberFormat="1" applyFont="1" applyFill="1" applyBorder="1" applyAlignment="1">
      <alignment horizontal="right" vertical="center"/>
    </xf>
    <xf numFmtId="9" fontId="7" fillId="6" borderId="12" xfId="3" applyFont="1" applyFill="1" applyBorder="1" applyAlignment="1">
      <alignment horizontal="center" vertical="center"/>
    </xf>
    <xf numFmtId="164" fontId="7" fillId="6" borderId="11" xfId="0" applyNumberFormat="1" applyFont="1" applyFill="1" applyBorder="1" applyAlignment="1">
      <alignment horizontal="right" vertical="center"/>
    </xf>
    <xf numFmtId="164" fontId="7" fillId="6" borderId="7" xfId="0" applyNumberFormat="1" applyFont="1" applyFill="1" applyBorder="1" applyAlignment="1">
      <alignment horizontal="center" vertical="center"/>
    </xf>
    <xf numFmtId="164" fontId="7" fillId="6" borderId="7" xfId="0" applyNumberFormat="1" applyFont="1" applyFill="1" applyBorder="1" applyAlignment="1">
      <alignment horizontal="center" vertical="center" wrapText="1"/>
    </xf>
    <xf numFmtId="164" fontId="7" fillId="6" borderId="13" xfId="3" applyNumberFormat="1" applyFont="1" applyFill="1" applyBorder="1" applyAlignment="1">
      <alignment horizontal="center" vertical="center"/>
    </xf>
    <xf numFmtId="164" fontId="7" fillId="6" borderId="12" xfId="3" applyNumberFormat="1" applyFont="1" applyFill="1" applyBorder="1" applyAlignment="1">
      <alignment horizontal="center" vertical="center"/>
    </xf>
    <xf numFmtId="164" fontId="7" fillId="6" borderId="6" xfId="0" applyNumberFormat="1" applyFont="1" applyFill="1" applyBorder="1" applyAlignment="1">
      <alignment horizontal="right" vertical="center" wrapText="1"/>
    </xf>
    <xf numFmtId="168" fontId="7" fillId="5" borderId="7" xfId="0" applyNumberFormat="1" applyFont="1" applyFill="1" applyBorder="1" applyAlignment="1">
      <alignment horizontal="center" vertical="center"/>
    </xf>
    <xf numFmtId="43" fontId="6" fillId="0" borderId="0" xfId="0" applyNumberFormat="1" applyFont="1" applyFill="1" applyAlignment="1">
      <alignment horizontal="right"/>
    </xf>
    <xf numFmtId="43" fontId="6" fillId="0" borderId="14" xfId="0" applyNumberFormat="1" applyFont="1" applyFill="1" applyBorder="1" applyAlignment="1">
      <alignment horizontal="center" vertical="center"/>
    </xf>
    <xf numFmtId="43" fontId="6" fillId="0" borderId="16" xfId="0" applyNumberFormat="1" applyFont="1" applyFill="1" applyBorder="1" applyAlignment="1">
      <alignment horizontal="center" vertical="center"/>
    </xf>
    <xf numFmtId="164" fontId="6" fillId="0" borderId="16" xfId="0" applyNumberFormat="1" applyFont="1" applyFill="1" applyBorder="1" applyAlignment="1">
      <alignment horizontal="center" vertical="center"/>
    </xf>
    <xf numFmtId="168" fontId="6" fillId="0" borderId="10" xfId="0" applyNumberFormat="1" applyFont="1" applyFill="1" applyBorder="1" applyAlignment="1">
      <alignment horizontal="center" vertical="center"/>
    </xf>
    <xf numFmtId="43" fontId="6" fillId="0" borderId="14" xfId="1" applyFont="1" applyFill="1" applyBorder="1" applyAlignment="1">
      <alignment horizontal="center" vertical="center"/>
    </xf>
    <xf numFmtId="43" fontId="6" fillId="0" borderId="16" xfId="1" applyFont="1" applyFill="1" applyBorder="1" applyAlignment="1">
      <alignment horizontal="center" vertical="center"/>
    </xf>
    <xf numFmtId="164" fontId="6" fillId="0" borderId="16" xfId="1" applyNumberFormat="1" applyFont="1" applyFill="1" applyBorder="1" applyAlignment="1">
      <alignment horizontal="center" vertical="center"/>
    </xf>
    <xf numFmtId="168" fontId="6" fillId="0" borderId="10" xfId="1" applyNumberFormat="1" applyFont="1" applyFill="1" applyBorder="1" applyAlignment="1">
      <alignment horizontal="center" vertical="center"/>
    </xf>
    <xf numFmtId="43" fontId="6" fillId="0" borderId="9" xfId="1" applyFont="1" applyFill="1" applyBorder="1" applyAlignment="1">
      <alignment horizontal="center" vertical="center"/>
    </xf>
    <xf numFmtId="164" fontId="6" fillId="0" borderId="15" xfId="0" applyNumberFormat="1" applyFont="1" applyFill="1" applyBorder="1" applyAlignment="1">
      <alignment horizontal="center" vertical="center"/>
    </xf>
    <xf numFmtId="41" fontId="6" fillId="0" borderId="16" xfId="1" applyNumberFormat="1" applyFont="1" applyFill="1" applyBorder="1" applyAlignment="1">
      <alignment horizontal="center" vertical="center"/>
    </xf>
    <xf numFmtId="43" fontId="6" fillId="0" borderId="0" xfId="0" applyNumberFormat="1" applyFont="1" applyFill="1"/>
    <xf numFmtId="43" fontId="6" fillId="0" borderId="13" xfId="0" applyNumberFormat="1" applyFont="1" applyFill="1" applyBorder="1" applyAlignment="1">
      <alignment horizontal="center" vertical="center"/>
    </xf>
    <xf numFmtId="43"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168" fontId="6" fillId="0" borderId="7" xfId="0" applyNumberFormat="1" applyFont="1" applyFill="1" applyBorder="1" applyAlignment="1">
      <alignment horizontal="center" vertical="center"/>
    </xf>
    <xf numFmtId="43" fontId="6" fillId="0" borderId="13" xfId="1" applyFont="1" applyFill="1" applyBorder="1" applyAlignment="1">
      <alignment horizontal="center" vertical="center"/>
    </xf>
    <xf numFmtId="43" fontId="6" fillId="0" borderId="2" xfId="1" applyFont="1" applyFill="1" applyBorder="1" applyAlignment="1">
      <alignment horizontal="center" vertical="center"/>
    </xf>
    <xf numFmtId="164" fontId="6" fillId="0" borderId="2" xfId="1" applyNumberFormat="1" applyFont="1" applyFill="1" applyBorder="1" applyAlignment="1">
      <alignment horizontal="center" vertical="center"/>
    </xf>
    <xf numFmtId="168" fontId="6" fillId="0" borderId="7" xfId="1" applyNumberFormat="1" applyFont="1" applyFill="1" applyBorder="1" applyAlignment="1">
      <alignment horizontal="center" vertical="center"/>
    </xf>
    <xf numFmtId="43" fontId="6" fillId="0" borderId="0" xfId="1" applyFont="1" applyFill="1" applyAlignment="1">
      <alignment horizontal="center" vertical="center"/>
    </xf>
    <xf numFmtId="164" fontId="6" fillId="0" borderId="12" xfId="0" applyNumberFormat="1" applyFont="1" applyFill="1" applyBorder="1" applyAlignment="1">
      <alignment horizontal="center" vertical="center"/>
    </xf>
    <xf numFmtId="41" fontId="6" fillId="0" borderId="2" xfId="1" applyNumberFormat="1" applyFont="1" applyFill="1" applyBorder="1" applyAlignment="1">
      <alignment horizontal="center" vertical="center"/>
    </xf>
    <xf numFmtId="43" fontId="6" fillId="0" borderId="0" xfId="0" applyNumberFormat="1" applyFont="1" applyFill="1" applyAlignment="1">
      <alignment horizontal="center" vertical="center"/>
    </xf>
    <xf numFmtId="41" fontId="6" fillId="0" borderId="12" xfId="1" applyNumberFormat="1" applyFont="1" applyFill="1" applyBorder="1" applyAlignment="1">
      <alignment horizontal="center" vertical="center"/>
    </xf>
    <xf numFmtId="167" fontId="6" fillId="0" borderId="2" xfId="0" applyNumberFormat="1" applyFont="1" applyFill="1" applyBorder="1" applyAlignment="1">
      <alignment horizontal="center" vertical="center"/>
    </xf>
    <xf numFmtId="167" fontId="7" fillId="5" borderId="2" xfId="0" applyNumberFormat="1" applyFont="1" applyFill="1" applyBorder="1" applyAlignment="1">
      <alignment horizontal="center" vertical="center"/>
    </xf>
    <xf numFmtId="164" fontId="7" fillId="4" borderId="2" xfId="0" applyNumberFormat="1" applyFont="1" applyFill="1" applyBorder="1" applyAlignment="1">
      <alignment horizontal="center" vertical="center"/>
    </xf>
    <xf numFmtId="167" fontId="7" fillId="4" borderId="2" xfId="0" applyNumberFormat="1" applyFont="1" applyFill="1" applyBorder="1" applyAlignment="1">
      <alignment horizontal="center" vertical="center"/>
    </xf>
    <xf numFmtId="168" fontId="7" fillId="4" borderId="7" xfId="0" applyNumberFormat="1" applyFont="1" applyFill="1" applyBorder="1" applyAlignment="1">
      <alignment horizontal="center" vertical="center"/>
    </xf>
    <xf numFmtId="164" fontId="3" fillId="6" borderId="12" xfId="0" applyNumberFormat="1" applyFont="1" applyFill="1" applyBorder="1" applyAlignment="1">
      <alignment horizontal="center"/>
    </xf>
    <xf numFmtId="49" fontId="7" fillId="0" borderId="0" xfId="0" applyNumberFormat="1" applyFont="1" applyAlignment="1">
      <alignment horizontal="center" vertical="center" wrapText="1"/>
    </xf>
    <xf numFmtId="49" fontId="11" fillId="0" borderId="0" xfId="0" applyNumberFormat="1" applyFont="1" applyFill="1" applyBorder="1" applyAlignment="1">
      <alignment horizontal="left" vertical="center" wrapText="1" indent="7"/>
    </xf>
    <xf numFmtId="0" fontId="7" fillId="0" borderId="0" xfId="0" applyFont="1" applyFill="1" applyBorder="1" applyAlignment="1">
      <alignment horizontal="left" vertical="center" wrapText="1" indent="8"/>
    </xf>
    <xf numFmtId="0" fontId="0" fillId="0" borderId="0" xfId="0" applyAlignment="1">
      <alignment horizontal="center" vertical="center"/>
    </xf>
    <xf numFmtId="0" fontId="0" fillId="0" borderId="0" xfId="0" applyAlignment="1">
      <alignment vertical="top"/>
    </xf>
    <xf numFmtId="9" fontId="0" fillId="0" borderId="0" xfId="3" applyFont="1" applyAlignment="1">
      <alignment vertical="top"/>
    </xf>
    <xf numFmtId="0" fontId="2" fillId="0" borderId="0" xfId="0" applyFont="1" applyAlignment="1">
      <alignment vertical="top"/>
    </xf>
    <xf numFmtId="0" fontId="15" fillId="4" borderId="0" xfId="0" applyFont="1" applyFill="1" applyAlignment="1">
      <alignment horizontal="center" vertical="center" wrapText="1"/>
    </xf>
    <xf numFmtId="0" fontId="16" fillId="0" borderId="3" xfId="0" applyFont="1" applyBorder="1" applyAlignment="1">
      <alignment horizontal="left" vertical="top" wrapText="1"/>
    </xf>
    <xf numFmtId="0" fontId="16" fillId="0" borderId="1" xfId="0" applyFont="1" applyBorder="1" applyAlignment="1">
      <alignment horizontal="center" vertical="top" wrapText="1"/>
    </xf>
    <xf numFmtId="0" fontId="16" fillId="0" borderId="1" xfId="0" applyFont="1" applyBorder="1" applyAlignment="1">
      <alignment vertical="top" wrapText="1"/>
    </xf>
    <xf numFmtId="0" fontId="16" fillId="0" borderId="1" xfId="0" applyFont="1" applyBorder="1" applyAlignment="1">
      <alignment horizontal="center" vertical="top"/>
    </xf>
    <xf numFmtId="0" fontId="16" fillId="0" borderId="1" xfId="0" applyFont="1" applyBorder="1" applyAlignment="1">
      <alignment horizontal="left" vertical="top" wrapText="1"/>
    </xf>
    <xf numFmtId="0" fontId="16" fillId="0" borderId="5" xfId="0" applyFont="1" applyBorder="1" applyAlignment="1">
      <alignment horizontal="left" vertical="top" wrapText="1"/>
    </xf>
    <xf numFmtId="0" fontId="16" fillId="0" borderId="0" xfId="0" applyFont="1" applyAlignment="1">
      <alignment horizontal="center" vertical="top"/>
    </xf>
    <xf numFmtId="0" fontId="16" fillId="0" borderId="0" xfId="0" applyFont="1" applyAlignment="1">
      <alignment horizontal="left" vertical="top" wrapText="1"/>
    </xf>
    <xf numFmtId="0" fontId="17" fillId="0" borderId="1" xfId="59" applyFont="1" applyBorder="1" applyAlignment="1">
      <alignment horizontal="left" vertical="top" wrapText="1"/>
    </xf>
    <xf numFmtId="0" fontId="16" fillId="0" borderId="1" xfId="0" applyFont="1" applyBorder="1" applyAlignment="1">
      <alignment vertical="top"/>
    </xf>
    <xf numFmtId="0" fontId="16" fillId="0" borderId="1" xfId="0" applyFont="1" applyBorder="1"/>
    <xf numFmtId="0" fontId="16" fillId="0" borderId="0" xfId="0" applyFont="1"/>
    <xf numFmtId="43" fontId="16" fillId="0" borderId="1" xfId="1" applyFont="1" applyBorder="1" applyAlignment="1">
      <alignment vertical="top"/>
    </xf>
    <xf numFmtId="43" fontId="16" fillId="0" borderId="1" xfId="1" applyFont="1" applyBorder="1" applyAlignment="1">
      <alignment horizontal="center" vertical="top" wrapText="1"/>
    </xf>
    <xf numFmtId="43" fontId="16" fillId="0" borderId="1" xfId="1" applyFont="1" applyBorder="1" applyAlignment="1">
      <alignment vertical="top" wrapText="1"/>
    </xf>
    <xf numFmtId="9" fontId="16" fillId="0" borderId="1" xfId="0" applyNumberFormat="1" applyFont="1" applyBorder="1" applyAlignment="1">
      <alignment horizontal="left" vertical="top" wrapText="1"/>
    </xf>
    <xf numFmtId="0" fontId="16" fillId="0" borderId="0" xfId="0" applyFont="1" applyAlignment="1">
      <alignment horizontal="center" vertical="top" wrapText="1"/>
    </xf>
    <xf numFmtId="0" fontId="16" fillId="0" borderId="0" xfId="0" applyFont="1" applyAlignment="1">
      <alignment vertical="top" wrapText="1"/>
    </xf>
    <xf numFmtId="2" fontId="6" fillId="0" borderId="0" xfId="1" applyNumberFormat="1" applyFont="1" applyFill="1" applyBorder="1" applyAlignment="1"/>
    <xf numFmtId="164" fontId="7" fillId="4" borderId="13" xfId="1" applyNumberFormat="1" applyFont="1" applyFill="1" applyBorder="1" applyAlignment="1">
      <alignment wrapText="1"/>
    </xf>
    <xf numFmtId="164" fontId="7" fillId="4" borderId="2" xfId="1" applyNumberFormat="1" applyFont="1" applyFill="1" applyBorder="1" applyAlignment="1">
      <alignment wrapText="1"/>
    </xf>
    <xf numFmtId="164" fontId="7" fillId="4" borderId="7" xfId="1" applyNumberFormat="1" applyFont="1" applyFill="1" applyBorder="1" applyAlignment="1">
      <alignment wrapText="1"/>
    </xf>
    <xf numFmtId="164" fontId="7" fillId="5" borderId="13" xfId="1" applyNumberFormat="1" applyFont="1" applyFill="1" applyBorder="1" applyAlignment="1">
      <alignment wrapText="1"/>
    </xf>
    <xf numFmtId="164" fontId="7" fillId="5" borderId="2" xfId="1" applyNumberFormat="1" applyFont="1" applyFill="1" applyBorder="1" applyAlignment="1">
      <alignment wrapText="1"/>
    </xf>
    <xf numFmtId="164" fontId="7" fillId="5" borderId="7" xfId="1" applyNumberFormat="1" applyFont="1" applyFill="1" applyBorder="1" applyAlignment="1">
      <alignment wrapText="1"/>
    </xf>
    <xf numFmtId="164" fontId="6" fillId="6" borderId="13" xfId="1" applyNumberFormat="1" applyFont="1" applyFill="1" applyBorder="1" applyAlignment="1"/>
    <xf numFmtId="164" fontId="6" fillId="6" borderId="2" xfId="1" applyNumberFormat="1" applyFont="1" applyFill="1" applyBorder="1" applyAlignment="1"/>
    <xf numFmtId="164" fontId="6" fillId="6" borderId="7" xfId="1" applyNumberFormat="1" applyFont="1" applyFill="1" applyBorder="1" applyAlignment="1">
      <alignment wrapText="1"/>
    </xf>
    <xf numFmtId="164" fontId="6" fillId="0" borderId="13" xfId="1" applyNumberFormat="1" applyFont="1" applyFill="1" applyBorder="1" applyAlignment="1"/>
    <xf numFmtId="164" fontId="6" fillId="0" borderId="2" xfId="1" applyNumberFormat="1" applyFont="1" applyFill="1" applyBorder="1" applyAlignment="1"/>
    <xf numFmtId="164" fontId="7" fillId="5" borderId="13" xfId="1" applyNumberFormat="1" applyFont="1" applyFill="1" applyBorder="1" applyAlignment="1"/>
    <xf numFmtId="164" fontId="7" fillId="5" borderId="2" xfId="1" applyNumberFormat="1" applyFont="1" applyFill="1" applyBorder="1" applyAlignment="1"/>
    <xf numFmtId="164" fontId="6" fillId="0" borderId="14" xfId="1" applyNumberFormat="1" applyFont="1" applyFill="1" applyBorder="1" applyAlignment="1"/>
    <xf numFmtId="164" fontId="6" fillId="0" borderId="16" xfId="1" applyNumberFormat="1" applyFont="1" applyFill="1" applyBorder="1" applyAlignment="1"/>
    <xf numFmtId="164" fontId="6" fillId="0" borderId="10" xfId="1" applyNumberFormat="1" applyFont="1" applyFill="1" applyBorder="1" applyAlignment="1">
      <alignment wrapText="1"/>
    </xf>
    <xf numFmtId="164" fontId="7" fillId="0" borderId="0" xfId="0" applyNumberFormat="1" applyFont="1" applyFill="1" applyBorder="1"/>
    <xf numFmtId="43" fontId="6" fillId="0" borderId="0" xfId="0" applyNumberFormat="1" applyFont="1" applyFill="1" applyBorder="1"/>
    <xf numFmtId="43" fontId="7" fillId="0" borderId="0" xfId="0" applyNumberFormat="1" applyFont="1" applyFill="1" applyBorder="1"/>
    <xf numFmtId="172" fontId="7" fillId="4" borderId="0" xfId="1" applyNumberFormat="1" applyFont="1" applyFill="1" applyBorder="1" applyAlignment="1">
      <alignment vertical="top" wrapText="1"/>
    </xf>
    <xf numFmtId="172" fontId="7" fillId="4" borderId="0" xfId="1" applyNumberFormat="1" applyFont="1" applyFill="1" applyBorder="1" applyAlignment="1">
      <alignment vertical="top"/>
    </xf>
    <xf numFmtId="172" fontId="7" fillId="4" borderId="7" xfId="1" applyNumberFormat="1" applyFont="1" applyFill="1" applyBorder="1" applyAlignment="1">
      <alignment vertical="top"/>
    </xf>
    <xf numFmtId="172" fontId="7" fillId="5" borderId="0" xfId="1" applyNumberFormat="1" applyFont="1" applyFill="1" applyBorder="1" applyAlignment="1">
      <alignment vertical="top" wrapText="1"/>
    </xf>
    <xf numFmtId="172" fontId="7" fillId="5" borderId="0" xfId="1" applyNumberFormat="1" applyFont="1" applyFill="1" applyBorder="1" applyAlignment="1">
      <alignment vertical="top"/>
    </xf>
    <xf numFmtId="172" fontId="7" fillId="5" borderId="7" xfId="1" applyNumberFormat="1" applyFont="1" applyFill="1" applyBorder="1" applyAlignment="1">
      <alignment vertical="top"/>
    </xf>
    <xf numFmtId="172" fontId="6" fillId="6" borderId="0" xfId="1" applyNumberFormat="1" applyFont="1" applyFill="1" applyBorder="1" applyAlignment="1">
      <alignment vertical="top" wrapText="1"/>
    </xf>
    <xf numFmtId="172" fontId="6" fillId="6" borderId="0" xfId="1" applyNumberFormat="1" applyFont="1" applyFill="1" applyBorder="1" applyAlignment="1">
      <alignment vertical="top"/>
    </xf>
    <xf numFmtId="172" fontId="6" fillId="6" borderId="7" xfId="1" applyNumberFormat="1" applyFont="1" applyFill="1" applyBorder="1" applyAlignment="1">
      <alignment vertical="top"/>
    </xf>
    <xf numFmtId="172" fontId="6" fillId="0" borderId="0" xfId="1" applyNumberFormat="1" applyFont="1" applyFill="1" applyBorder="1" applyAlignment="1">
      <alignment vertical="top" wrapText="1"/>
    </xf>
    <xf numFmtId="172" fontId="6" fillId="0" borderId="0" xfId="1" applyNumberFormat="1" applyFont="1" applyFill="1" applyBorder="1" applyAlignment="1">
      <alignment vertical="top"/>
    </xf>
    <xf numFmtId="172" fontId="6" fillId="0" borderId="7" xfId="1" applyNumberFormat="1" applyFont="1" applyFill="1" applyBorder="1" applyAlignment="1">
      <alignment vertical="top"/>
    </xf>
    <xf numFmtId="172" fontId="6" fillId="0" borderId="9" xfId="1" applyNumberFormat="1" applyFont="1" applyFill="1" applyBorder="1" applyAlignment="1">
      <alignment vertical="top" wrapText="1"/>
    </xf>
    <xf numFmtId="172" fontId="6" fillId="0" borderId="9" xfId="1" applyNumberFormat="1" applyFont="1" applyFill="1" applyBorder="1" applyAlignment="1">
      <alignment vertical="top"/>
    </xf>
    <xf numFmtId="172" fontId="6" fillId="0" borderId="10" xfId="1" applyNumberFormat="1" applyFont="1" applyFill="1" applyBorder="1" applyAlignment="1">
      <alignment vertical="top"/>
    </xf>
    <xf numFmtId="0" fontId="16" fillId="0" borderId="5" xfId="0" applyFont="1" applyBorder="1" applyAlignment="1">
      <alignment horizontal="center" vertical="top"/>
    </xf>
    <xf numFmtId="0" fontId="16" fillId="0" borderId="0" xfId="0" applyFont="1" applyAlignment="1">
      <alignment horizontal="center" vertical="top"/>
    </xf>
    <xf numFmtId="0" fontId="16" fillId="0" borderId="3" xfId="0" applyFont="1" applyBorder="1" applyAlignment="1">
      <alignment horizontal="center" vertical="top"/>
    </xf>
    <xf numFmtId="0" fontId="16" fillId="0" borderId="3" xfId="0" applyFont="1" applyBorder="1" applyAlignment="1">
      <alignment horizontal="center" vertical="top" wrapText="1"/>
    </xf>
    <xf numFmtId="0" fontId="16" fillId="0" borderId="3" xfId="0" applyFont="1" applyBorder="1" applyAlignment="1">
      <alignment vertical="top" wrapText="1"/>
    </xf>
    <xf numFmtId="164" fontId="7" fillId="6" borderId="6" xfId="1" applyNumberFormat="1" applyFont="1" applyFill="1" applyBorder="1" applyAlignment="1">
      <alignment vertical="top" wrapText="1"/>
    </xf>
    <xf numFmtId="164" fontId="7" fillId="6" borderId="0" xfId="1" applyNumberFormat="1" applyFont="1" applyFill="1" applyBorder="1" applyAlignment="1">
      <alignment vertical="top" wrapText="1"/>
    </xf>
    <xf numFmtId="164" fontId="7" fillId="6" borderId="12" xfId="1" applyNumberFormat="1" applyFont="1" applyFill="1" applyBorder="1" applyAlignment="1">
      <alignment vertical="top" wrapText="1"/>
    </xf>
    <xf numFmtId="164" fontId="7" fillId="6" borderId="11" xfId="1" applyNumberFormat="1" applyFont="1" applyFill="1" applyBorder="1" applyAlignment="1">
      <alignment vertical="top" wrapText="1"/>
    </xf>
    <xf numFmtId="164" fontId="7" fillId="6" borderId="2" xfId="1" applyNumberFormat="1" applyFont="1" applyFill="1" applyBorder="1" applyAlignment="1">
      <alignment vertical="top" wrapText="1"/>
    </xf>
    <xf numFmtId="164" fontId="7" fillId="6" borderId="7" xfId="1" applyNumberFormat="1" applyFont="1" applyFill="1" applyBorder="1" applyAlignment="1">
      <alignment vertical="top" wrapText="1"/>
    </xf>
    <xf numFmtId="9" fontId="7" fillId="6" borderId="0" xfId="3" applyFont="1" applyFill="1" applyBorder="1" applyAlignment="1">
      <alignment vertical="top"/>
    </xf>
    <xf numFmtId="172" fontId="7" fillId="6" borderId="0" xfId="1" applyNumberFormat="1" applyFont="1" applyFill="1" applyBorder="1" applyAlignment="1">
      <alignment vertical="top" wrapText="1"/>
    </xf>
    <xf numFmtId="172" fontId="7" fillId="6" borderId="0" xfId="1" applyNumberFormat="1" applyFont="1" applyFill="1" applyBorder="1" applyAlignment="1">
      <alignment vertical="top"/>
    </xf>
    <xf numFmtId="172" fontId="7" fillId="6" borderId="7" xfId="1" applyNumberFormat="1" applyFont="1" applyFill="1" applyBorder="1" applyAlignment="1">
      <alignment vertical="top"/>
    </xf>
    <xf numFmtId="0" fontId="7" fillId="0" borderId="39" xfId="0" applyFont="1" applyBorder="1" applyAlignment="1">
      <alignment vertical="top" wrapText="1"/>
    </xf>
    <xf numFmtId="164" fontId="7" fillId="0" borderId="38" xfId="1" applyNumberFormat="1" applyFont="1" applyBorder="1" applyAlignment="1">
      <alignment vertical="top" wrapText="1"/>
    </xf>
    <xf numFmtId="173" fontId="19" fillId="0" borderId="0" xfId="6" applyNumberFormat="1" applyFont="1" applyAlignment="1">
      <alignment vertical="top" wrapText="1"/>
    </xf>
    <xf numFmtId="0" fontId="11" fillId="0" borderId="38" xfId="0" applyFont="1" applyBorder="1" applyAlignment="1">
      <alignment vertical="top" wrapText="1"/>
    </xf>
    <xf numFmtId="0" fontId="22" fillId="0" borderId="0" xfId="0" applyFont="1"/>
    <xf numFmtId="0" fontId="7" fillId="0" borderId="38" xfId="0" applyFont="1" applyBorder="1" applyAlignment="1">
      <alignment vertical="top" wrapText="1"/>
    </xf>
    <xf numFmtId="173" fontId="20" fillId="0" borderId="0" xfId="6" applyNumberFormat="1" applyFont="1"/>
    <xf numFmtId="173" fontId="21" fillId="0" borderId="0" xfId="6" applyNumberFormat="1" applyFont="1"/>
    <xf numFmtId="0" fontId="20" fillId="0" borderId="0" xfId="0" applyFont="1"/>
    <xf numFmtId="173" fontId="18" fillId="0" borderId="0" xfId="6" applyNumberFormat="1" applyFont="1" applyAlignment="1">
      <alignment vertical="top" wrapText="1"/>
    </xf>
    <xf numFmtId="0" fontId="18" fillId="0" borderId="0" xfId="0" applyFont="1" applyAlignment="1">
      <alignment vertical="top" wrapText="1"/>
    </xf>
    <xf numFmtId="0" fontId="6" fillId="0" borderId="0" xfId="0" applyFont="1" applyFill="1" applyBorder="1" applyAlignment="1">
      <alignment vertical="top" wrapText="1"/>
    </xf>
    <xf numFmtId="0" fontId="6" fillId="0" borderId="0" xfId="0" applyFont="1" applyFill="1" applyBorder="1"/>
    <xf numFmtId="164" fontId="6" fillId="0" borderId="0" xfId="1" applyNumberFormat="1" applyFont="1" applyFill="1" applyBorder="1"/>
    <xf numFmtId="9" fontId="6" fillId="0" borderId="0" xfId="3" applyFont="1" applyFill="1" applyBorder="1"/>
    <xf numFmtId="0" fontId="6" fillId="0" borderId="0" xfId="0" applyFont="1" applyFill="1" applyBorder="1" applyAlignment="1">
      <alignment horizontal="right"/>
    </xf>
    <xf numFmtId="0" fontId="6" fillId="0" borderId="0" xfId="0" applyFont="1" applyFill="1" applyBorder="1" applyAlignment="1"/>
    <xf numFmtId="164" fontId="6" fillId="0" borderId="0" xfId="0" applyNumberFormat="1" applyFont="1" applyFill="1" applyBorder="1"/>
    <xf numFmtId="0" fontId="6" fillId="0" borderId="0" xfId="0" applyFont="1" applyFill="1" applyBorder="1" applyAlignment="1">
      <alignment horizontal="right" vertical="center" wrapText="1"/>
    </xf>
    <xf numFmtId="164" fontId="6" fillId="0" borderId="0" xfId="1" applyNumberFormat="1" applyFont="1" applyFill="1" applyBorder="1" applyAlignment="1">
      <alignment vertical="top" wrapText="1"/>
    </xf>
    <xf numFmtId="43" fontId="6" fillId="0" borderId="0" xfId="1" applyFont="1" applyFill="1" applyBorder="1" applyAlignment="1">
      <alignment vertical="top"/>
    </xf>
    <xf numFmtId="164" fontId="6" fillId="0" borderId="0" xfId="1" applyNumberFormat="1" applyFont="1" applyFill="1" applyBorder="1" applyAlignment="1">
      <alignment vertical="top"/>
    </xf>
    <xf numFmtId="166" fontId="6" fillId="0" borderId="0" xfId="0" applyNumberFormat="1" applyFont="1" applyFill="1" applyBorder="1"/>
    <xf numFmtId="164" fontId="7" fillId="4" borderId="0" xfId="1" applyNumberFormat="1" applyFont="1" applyFill="1" applyBorder="1" applyAlignment="1">
      <alignment vertical="top" wrapText="1"/>
    </xf>
    <xf numFmtId="164" fontId="6" fillId="6" borderId="0" xfId="1" applyNumberFormat="1" applyFont="1" applyFill="1" applyBorder="1"/>
    <xf numFmtId="164" fontId="6" fillId="6" borderId="0" xfId="1" applyNumberFormat="1" applyFont="1" applyFill="1" applyBorder="1" applyAlignment="1">
      <alignment vertical="top"/>
    </xf>
    <xf numFmtId="164" fontId="7" fillId="5" borderId="0" xfId="1" applyNumberFormat="1" applyFont="1" applyFill="1" applyBorder="1" applyAlignment="1">
      <alignment vertical="top"/>
    </xf>
    <xf numFmtId="164" fontId="7" fillId="5" borderId="0" xfId="1" applyNumberFormat="1" applyFont="1" applyFill="1" applyBorder="1" applyAlignment="1">
      <alignment vertical="top" wrapText="1"/>
    </xf>
    <xf numFmtId="164" fontId="6" fillId="0" borderId="6" xfId="1" applyNumberFormat="1" applyFont="1" applyFill="1" applyBorder="1" applyAlignment="1">
      <alignment vertical="top" wrapText="1"/>
    </xf>
    <xf numFmtId="164" fontId="6" fillId="0" borderId="7" xfId="1" applyNumberFormat="1" applyFont="1" applyFill="1" applyBorder="1" applyAlignment="1">
      <alignment vertical="top" wrapText="1"/>
    </xf>
    <xf numFmtId="164" fontId="7" fillId="4" borderId="6" xfId="1" applyNumberFormat="1" applyFont="1" applyFill="1" applyBorder="1" applyAlignment="1">
      <alignment vertical="top" wrapText="1"/>
    </xf>
    <xf numFmtId="164" fontId="7" fillId="4" borderId="7" xfId="1" applyNumberFormat="1" applyFont="1" applyFill="1" applyBorder="1" applyAlignment="1">
      <alignment vertical="top" wrapText="1"/>
    </xf>
    <xf numFmtId="164" fontId="7" fillId="5" borderId="6" xfId="1" applyNumberFormat="1" applyFont="1" applyFill="1" applyBorder="1" applyAlignment="1">
      <alignment vertical="top" wrapText="1"/>
    </xf>
    <xf numFmtId="164" fontId="7" fillId="5" borderId="7" xfId="1" applyNumberFormat="1" applyFont="1" applyFill="1" applyBorder="1" applyAlignment="1">
      <alignment vertical="top" wrapText="1"/>
    </xf>
    <xf numFmtId="164" fontId="6" fillId="6" borderId="6" xfId="1" applyNumberFormat="1" applyFont="1" applyFill="1" applyBorder="1"/>
    <xf numFmtId="164" fontId="6" fillId="6" borderId="7" xfId="1" applyNumberFormat="1" applyFont="1" applyFill="1" applyBorder="1"/>
    <xf numFmtId="164" fontId="6" fillId="0" borderId="6" xfId="1" applyNumberFormat="1" applyFont="1" applyFill="1" applyBorder="1"/>
    <xf numFmtId="164" fontId="6" fillId="0" borderId="7" xfId="1" applyNumberFormat="1" applyFont="1" applyFill="1" applyBorder="1" applyAlignment="1">
      <alignment vertical="top"/>
    </xf>
    <xf numFmtId="164" fontId="6" fillId="6" borderId="7" xfId="1" applyNumberFormat="1" applyFont="1" applyFill="1" applyBorder="1" applyAlignment="1">
      <alignment vertical="top"/>
    </xf>
    <xf numFmtId="164" fontId="6" fillId="0" borderId="6" xfId="1" applyNumberFormat="1" applyFont="1" applyFill="1" applyBorder="1" applyAlignment="1">
      <alignment vertical="top"/>
    </xf>
    <xf numFmtId="164" fontId="6" fillId="0" borderId="7" xfId="1" applyNumberFormat="1" applyFont="1" applyFill="1" applyBorder="1"/>
    <xf numFmtId="164" fontId="7" fillId="5" borderId="6" xfId="1" applyNumberFormat="1" applyFont="1" applyFill="1" applyBorder="1" applyAlignment="1">
      <alignment vertical="top"/>
    </xf>
    <xf numFmtId="164" fontId="7" fillId="5" borderId="7" xfId="1" applyNumberFormat="1" applyFont="1" applyFill="1" applyBorder="1" applyAlignment="1">
      <alignment vertical="top"/>
    </xf>
    <xf numFmtId="164" fontId="6" fillId="6" borderId="6" xfId="1" applyNumberFormat="1" applyFont="1" applyFill="1" applyBorder="1" applyAlignment="1">
      <alignment vertical="top"/>
    </xf>
    <xf numFmtId="164" fontId="6" fillId="0" borderId="8" xfId="1" applyNumberFormat="1" applyFont="1" applyFill="1" applyBorder="1" applyAlignment="1">
      <alignment vertical="top"/>
    </xf>
    <xf numFmtId="164" fontId="6" fillId="0" borderId="9" xfId="1" applyNumberFormat="1" applyFont="1" applyFill="1" applyBorder="1" applyAlignment="1">
      <alignment vertical="top"/>
    </xf>
    <xf numFmtId="164" fontId="6" fillId="0" borderId="10" xfId="1" applyNumberFormat="1" applyFont="1" applyFill="1" applyBorder="1" applyAlignment="1">
      <alignment vertical="top"/>
    </xf>
    <xf numFmtId="164" fontId="6" fillId="0" borderId="12" xfId="1" applyNumberFormat="1" applyFont="1" applyFill="1" applyBorder="1" applyAlignment="1">
      <alignment vertical="top" wrapText="1"/>
    </xf>
    <xf numFmtId="164" fontId="7" fillId="4" borderId="12" xfId="1" applyNumberFormat="1" applyFont="1" applyFill="1" applyBorder="1" applyAlignment="1">
      <alignment vertical="top" wrapText="1"/>
    </xf>
    <xf numFmtId="164" fontId="7" fillId="5" borderId="12" xfId="1" applyNumberFormat="1" applyFont="1" applyFill="1" applyBorder="1" applyAlignment="1">
      <alignment vertical="top" wrapText="1"/>
    </xf>
    <xf numFmtId="164" fontId="6" fillId="6" borderId="12" xfId="1" applyNumberFormat="1" applyFont="1" applyFill="1" applyBorder="1"/>
    <xf numFmtId="164" fontId="6" fillId="0" borderId="12" xfId="1" applyNumberFormat="1" applyFont="1" applyFill="1" applyBorder="1"/>
    <xf numFmtId="164" fontId="7" fillId="5" borderId="12" xfId="1" applyNumberFormat="1" applyFont="1" applyFill="1" applyBorder="1" applyAlignment="1">
      <alignment vertical="top"/>
    </xf>
    <xf numFmtId="164" fontId="6" fillId="6" borderId="12" xfId="1" applyNumberFormat="1" applyFont="1" applyFill="1" applyBorder="1" applyAlignment="1">
      <alignment vertical="top"/>
    </xf>
    <xf numFmtId="164" fontId="6" fillId="0" borderId="12" xfId="1" applyNumberFormat="1" applyFont="1" applyFill="1" applyBorder="1" applyAlignment="1">
      <alignment vertical="top"/>
    </xf>
    <xf numFmtId="164" fontId="6" fillId="0" borderId="15" xfId="1" applyNumberFormat="1" applyFont="1" applyFill="1" applyBorder="1" applyAlignment="1">
      <alignment vertical="top"/>
    </xf>
    <xf numFmtId="164" fontId="6" fillId="0" borderId="11" xfId="1" applyNumberFormat="1" applyFont="1" applyFill="1" applyBorder="1" applyAlignment="1">
      <alignment vertical="top" wrapText="1"/>
    </xf>
    <xf numFmtId="164" fontId="7" fillId="4" borderId="11" xfId="1" applyNumberFormat="1" applyFont="1" applyFill="1" applyBorder="1" applyAlignment="1">
      <alignment vertical="top" wrapText="1"/>
    </xf>
    <xf numFmtId="164" fontId="7" fillId="5" borderId="11" xfId="1" applyNumberFormat="1" applyFont="1" applyFill="1" applyBorder="1" applyAlignment="1">
      <alignment vertical="top" wrapText="1"/>
    </xf>
    <xf numFmtId="164" fontId="6" fillId="6" borderId="11" xfId="1" applyNumberFormat="1" applyFont="1" applyFill="1" applyBorder="1"/>
    <xf numFmtId="164" fontId="6" fillId="0" borderId="11" xfId="1" applyNumberFormat="1" applyFont="1" applyFill="1" applyBorder="1" applyAlignment="1">
      <alignment vertical="top"/>
    </xf>
    <xf numFmtId="164" fontId="6" fillId="0" borderId="11" xfId="1" applyNumberFormat="1" applyFont="1" applyFill="1" applyBorder="1"/>
    <xf numFmtId="164" fontId="7" fillId="5" borderId="11" xfId="1" applyNumberFormat="1" applyFont="1" applyFill="1" applyBorder="1" applyAlignment="1">
      <alignment vertical="top"/>
    </xf>
    <xf numFmtId="164" fontId="6" fillId="6" borderId="11" xfId="1" applyNumberFormat="1" applyFont="1" applyFill="1" applyBorder="1" applyAlignment="1">
      <alignment vertical="top"/>
    </xf>
    <xf numFmtId="164" fontId="6" fillId="0" borderId="17" xfId="1" applyNumberFormat="1" applyFont="1" applyFill="1" applyBorder="1" applyAlignment="1">
      <alignment vertical="top"/>
    </xf>
    <xf numFmtId="164" fontId="6" fillId="0" borderId="6" xfId="1" applyNumberFormat="1" applyFont="1" applyFill="1" applyBorder="1" applyAlignment="1">
      <alignment wrapText="1"/>
    </xf>
    <xf numFmtId="164" fontId="6" fillId="0" borderId="0" xfId="1" applyNumberFormat="1" applyFont="1" applyFill="1" applyBorder="1" applyAlignment="1">
      <alignment wrapText="1"/>
    </xf>
    <xf numFmtId="164" fontId="6" fillId="0" borderId="12" xfId="1" applyNumberFormat="1" applyFont="1" applyFill="1" applyBorder="1" applyAlignment="1">
      <alignment wrapText="1"/>
    </xf>
    <xf numFmtId="164" fontId="6" fillId="0" borderId="11" xfId="1" applyNumberFormat="1" applyFont="1" applyFill="1" applyBorder="1" applyAlignment="1">
      <alignment wrapText="1"/>
    </xf>
    <xf numFmtId="164" fontId="6" fillId="0" borderId="7" xfId="1" applyNumberFormat="1" applyFont="1" applyFill="1" applyBorder="1" applyAlignment="1">
      <alignment wrapText="1"/>
    </xf>
    <xf numFmtId="164" fontId="7" fillId="0" borderId="28" xfId="1" applyNumberFormat="1" applyFont="1" applyFill="1" applyBorder="1" applyAlignment="1">
      <alignment vertical="top" wrapText="1"/>
    </xf>
    <xf numFmtId="0" fontId="9" fillId="0" borderId="0" xfId="0" applyFont="1" applyFill="1" applyBorder="1"/>
    <xf numFmtId="0" fontId="6" fillId="0" borderId="0" xfId="0" applyFont="1" applyBorder="1" applyAlignment="1">
      <alignment vertical="top" wrapText="1"/>
    </xf>
    <xf numFmtId="173" fontId="9" fillId="0" borderId="0" xfId="6" applyNumberFormat="1" applyFont="1" applyBorder="1" applyAlignment="1">
      <alignment vertical="top" wrapText="1"/>
    </xf>
    <xf numFmtId="0" fontId="6" fillId="0" borderId="7" xfId="0" applyFont="1" applyFill="1" applyBorder="1" applyAlignment="1">
      <alignment vertical="top" wrapText="1"/>
    </xf>
    <xf numFmtId="0" fontId="9" fillId="0" borderId="0" xfId="0" applyFont="1" applyFill="1" applyBorder="1" applyAlignment="1">
      <alignment vertical="top" wrapText="1"/>
    </xf>
    <xf numFmtId="0" fontId="9" fillId="0" borderId="7" xfId="0" applyFont="1" applyFill="1" applyBorder="1" applyAlignment="1">
      <alignment vertical="top" wrapText="1"/>
    </xf>
    <xf numFmtId="0" fontId="9" fillId="0" borderId="0" xfId="0" applyFont="1" applyBorder="1" applyAlignment="1">
      <alignment vertical="top" wrapText="1"/>
    </xf>
    <xf numFmtId="0" fontId="6" fillId="0" borderId="9" xfId="0" applyFont="1" applyBorder="1" applyAlignment="1">
      <alignment vertical="top" wrapText="1"/>
    </xf>
    <xf numFmtId="173" fontId="9" fillId="0" borderId="9" xfId="6" applyNumberFormat="1" applyFont="1" applyBorder="1" applyAlignment="1">
      <alignment vertical="top" wrapText="1"/>
    </xf>
    <xf numFmtId="0" fontId="6" fillId="0" borderId="9" xfId="0" applyFont="1" applyFill="1" applyBorder="1" applyAlignment="1">
      <alignment vertical="top" wrapText="1"/>
    </xf>
    <xf numFmtId="0" fontId="6" fillId="0" borderId="10" xfId="0" applyFont="1" applyFill="1" applyBorder="1" applyAlignment="1">
      <alignment vertical="top" wrapText="1"/>
    </xf>
    <xf numFmtId="0" fontId="6" fillId="0" borderId="5" xfId="0" applyFont="1" applyBorder="1" applyAlignment="1">
      <alignment vertical="top" wrapText="1"/>
    </xf>
    <xf numFmtId="173" fontId="9" fillId="0" borderId="5" xfId="6" applyNumberFormat="1" applyFont="1" applyBorder="1" applyAlignment="1">
      <alignment vertical="top" wrapText="1"/>
    </xf>
    <xf numFmtId="0" fontId="6" fillId="0" borderId="5" xfId="0" applyFont="1" applyFill="1" applyBorder="1" applyAlignment="1">
      <alignment vertical="top" wrapText="1"/>
    </xf>
    <xf numFmtId="0" fontId="6" fillId="0" borderId="40" xfId="0" applyFont="1" applyFill="1" applyBorder="1" applyAlignment="1">
      <alignment vertical="top" wrapText="1"/>
    </xf>
    <xf numFmtId="0" fontId="9" fillId="0" borderId="5" xfId="0" applyFont="1" applyFill="1" applyBorder="1" applyAlignment="1">
      <alignment vertical="top" wrapText="1"/>
    </xf>
    <xf numFmtId="0" fontId="9" fillId="0" borderId="40" xfId="0" applyFont="1" applyFill="1" applyBorder="1" applyAlignment="1">
      <alignment vertical="top" wrapText="1"/>
    </xf>
    <xf numFmtId="0" fontId="20" fillId="0" borderId="0" xfId="0" applyFont="1" applyAlignment="1">
      <alignment horizontal="right"/>
    </xf>
    <xf numFmtId="0" fontId="7" fillId="0" borderId="33" xfId="0" applyFont="1" applyBorder="1" applyAlignment="1">
      <alignment horizontal="right" vertical="top" wrapText="1"/>
    </xf>
    <xf numFmtId="0" fontId="6" fillId="0" borderId="35" xfId="0" applyFont="1" applyBorder="1" applyAlignment="1">
      <alignment horizontal="right" vertical="top" wrapText="1"/>
    </xf>
    <xf numFmtId="0" fontId="6" fillId="0" borderId="6" xfId="0" applyFont="1" applyBorder="1" applyAlignment="1">
      <alignment horizontal="right" vertical="top" wrapText="1"/>
    </xf>
    <xf numFmtId="0" fontId="6" fillId="0" borderId="8" xfId="0" applyFont="1" applyBorder="1" applyAlignment="1">
      <alignment horizontal="right" vertical="top" wrapText="1"/>
    </xf>
    <xf numFmtId="0" fontId="18" fillId="0" borderId="0" xfId="0" applyFont="1" applyAlignment="1">
      <alignment horizontal="right" vertical="top" wrapText="1"/>
    </xf>
    <xf numFmtId="0" fontId="9" fillId="0" borderId="5" xfId="0" applyFont="1" applyBorder="1" applyAlignment="1">
      <alignment vertical="top" wrapText="1"/>
    </xf>
    <xf numFmtId="0" fontId="9" fillId="0" borderId="9" xfId="0" applyFont="1" applyBorder="1" applyAlignment="1">
      <alignment vertical="top" wrapText="1"/>
    </xf>
    <xf numFmtId="0" fontId="9" fillId="0" borderId="9" xfId="0" applyFont="1" applyFill="1" applyBorder="1" applyAlignment="1">
      <alignment vertical="top" wrapText="1"/>
    </xf>
    <xf numFmtId="0" fontId="7" fillId="0" borderId="0" xfId="0" applyFont="1" applyFill="1" applyBorder="1" applyAlignment="1">
      <alignment horizontal="right" vertical="center" wrapText="1"/>
    </xf>
    <xf numFmtId="164" fontId="9" fillId="0" borderId="0" xfId="1" applyNumberFormat="1" applyFont="1" applyFill="1" applyBorder="1" applyAlignment="1">
      <alignment vertical="top"/>
    </xf>
    <xf numFmtId="164" fontId="9" fillId="6" borderId="0" xfId="1" applyNumberFormat="1" applyFont="1" applyFill="1" applyBorder="1" applyAlignment="1">
      <alignment vertical="top"/>
    </xf>
    <xf numFmtId="164" fontId="9" fillId="0" borderId="9" xfId="1" applyNumberFormat="1" applyFont="1" applyFill="1" applyBorder="1" applyAlignment="1">
      <alignment vertical="top"/>
    </xf>
    <xf numFmtId="0" fontId="16" fillId="0" borderId="5" xfId="0" applyFont="1" applyBorder="1" applyAlignment="1">
      <alignment horizontal="center" vertical="top"/>
    </xf>
    <xf numFmtId="0" fontId="16" fillId="0" borderId="0" xfId="0" applyFont="1" applyAlignment="1">
      <alignment horizontal="center" vertical="top"/>
    </xf>
    <xf numFmtId="0" fontId="16" fillId="0" borderId="3" xfId="0" applyFont="1" applyBorder="1" applyAlignment="1">
      <alignment horizontal="center" vertical="top"/>
    </xf>
    <xf numFmtId="0" fontId="16" fillId="0" borderId="5" xfId="0" applyFont="1" applyBorder="1" applyAlignment="1">
      <alignment horizontal="center" vertical="top" wrapText="1"/>
    </xf>
    <xf numFmtId="0" fontId="16" fillId="0" borderId="0" xfId="0" applyFont="1" applyAlignment="1">
      <alignment horizontal="center" vertical="top" wrapText="1"/>
    </xf>
    <xf numFmtId="0" fontId="16" fillId="0" borderId="3" xfId="0" applyFont="1" applyBorder="1" applyAlignment="1">
      <alignment horizontal="center" vertical="top" wrapText="1"/>
    </xf>
    <xf numFmtId="0" fontId="16" fillId="0" borderId="5" xfId="0" applyFont="1" applyBorder="1" applyAlignment="1">
      <alignment vertical="top" wrapText="1"/>
    </xf>
    <xf numFmtId="0" fontId="16" fillId="0" borderId="0" xfId="0" applyFont="1" applyAlignment="1">
      <alignment vertical="top" wrapText="1"/>
    </xf>
    <xf numFmtId="0" fontId="16" fillId="0" borderId="3" xfId="0" applyFont="1" applyBorder="1" applyAlignment="1">
      <alignment vertical="top" wrapText="1"/>
    </xf>
    <xf numFmtId="0" fontId="16" fillId="0" borderId="5" xfId="0" applyFont="1" applyBorder="1" applyAlignment="1">
      <alignment vertical="top"/>
    </xf>
    <xf numFmtId="0" fontId="16" fillId="0" borderId="0" xfId="0" applyFont="1" applyAlignment="1">
      <alignment vertical="top"/>
    </xf>
    <xf numFmtId="0" fontId="16" fillId="0" borderId="3" xfId="0" applyFont="1" applyBorder="1" applyAlignment="1">
      <alignment vertical="top"/>
    </xf>
    <xf numFmtId="0" fontId="11" fillId="0" borderId="18" xfId="0" applyFont="1" applyFill="1" applyBorder="1" applyAlignment="1">
      <alignment horizontal="center"/>
    </xf>
    <xf numFmtId="0" fontId="11" fillId="0" borderId="19" xfId="0" applyFont="1" applyFill="1" applyBorder="1" applyAlignment="1">
      <alignment horizontal="center"/>
    </xf>
    <xf numFmtId="0" fontId="11" fillId="0" borderId="20" xfId="0" applyFont="1" applyFill="1" applyBorder="1" applyAlignment="1">
      <alignment horizont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12" fillId="0" borderId="3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5" xfId="0" applyFont="1" applyBorder="1" applyAlignment="1">
      <alignment horizontal="center" vertical="center" wrapText="1"/>
    </xf>
    <xf numFmtId="0" fontId="7" fillId="0" borderId="22" xfId="0" applyFont="1" applyBorder="1" applyAlignment="1">
      <alignment horizontal="center" vertical="center"/>
    </xf>
    <xf numFmtId="0" fontId="7" fillId="0" borderId="24"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41" fontId="11" fillId="0" borderId="18" xfId="0" applyNumberFormat="1" applyFont="1" applyBorder="1" applyAlignment="1">
      <alignment horizontal="center" vertical="center"/>
    </xf>
    <xf numFmtId="41" fontId="11" fillId="0" borderId="19" xfId="0" applyNumberFormat="1" applyFont="1" applyBorder="1" applyAlignment="1">
      <alignment horizontal="center" vertical="center"/>
    </xf>
    <xf numFmtId="41" fontId="11" fillId="0" borderId="20" xfId="0" applyNumberFormat="1" applyFont="1" applyBorder="1" applyAlignment="1">
      <alignment horizontal="center" vertical="center"/>
    </xf>
    <xf numFmtId="41" fontId="11" fillId="0" borderId="6" xfId="0" applyNumberFormat="1" applyFont="1" applyFill="1" applyBorder="1" applyAlignment="1">
      <alignment horizontal="center" vertical="center" wrapText="1"/>
    </xf>
    <xf numFmtId="41" fontId="11" fillId="0" borderId="12" xfId="0" applyNumberFormat="1" applyFont="1" applyFill="1" applyBorder="1" applyAlignment="1">
      <alignment horizontal="center" vertical="center" wrapText="1"/>
    </xf>
    <xf numFmtId="41" fontId="11" fillId="0" borderId="11" xfId="0" applyNumberFormat="1"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24" xfId="0" applyFont="1" applyFill="1" applyBorder="1" applyAlignment="1">
      <alignment horizontal="center" vertical="center" wrapText="1"/>
    </xf>
    <xf numFmtId="1" fontId="7" fillId="0" borderId="19" xfId="0" applyNumberFormat="1" applyFont="1" applyFill="1" applyBorder="1" applyAlignment="1">
      <alignment horizontal="center" vertical="center" wrapText="1"/>
    </xf>
    <xf numFmtId="1" fontId="7" fillId="0" borderId="20" xfId="0" applyNumberFormat="1" applyFont="1" applyFill="1" applyBorder="1" applyAlignment="1">
      <alignment horizontal="center" vertical="center" wrapText="1"/>
    </xf>
    <xf numFmtId="0" fontId="7" fillId="0" borderId="18" xfId="0" applyFont="1" applyBorder="1" applyAlignment="1">
      <alignment horizontal="center"/>
    </xf>
    <xf numFmtId="0" fontId="7" fillId="0" borderId="19" xfId="0" applyFont="1" applyBorder="1" applyAlignment="1">
      <alignment horizontal="center"/>
    </xf>
    <xf numFmtId="0" fontId="7" fillId="0" borderId="20" xfId="0" applyFont="1" applyBorder="1" applyAlignment="1">
      <alignment horizontal="center"/>
    </xf>
    <xf numFmtId="164" fontId="7" fillId="0" borderId="18" xfId="1" applyNumberFormat="1" applyFont="1" applyFill="1" applyBorder="1" applyAlignment="1">
      <alignment horizontal="center" vertical="top" wrapText="1"/>
    </xf>
    <xf numFmtId="164" fontId="7" fillId="0" borderId="19" xfId="1" applyNumberFormat="1" applyFont="1" applyFill="1" applyBorder="1" applyAlignment="1">
      <alignment horizontal="center" vertical="top" wrapText="1"/>
    </xf>
    <xf numFmtId="164" fontId="7" fillId="0" borderId="20" xfId="1" applyNumberFormat="1" applyFont="1" applyFill="1" applyBorder="1" applyAlignment="1">
      <alignment horizontal="center" vertical="top" wrapText="1"/>
    </xf>
    <xf numFmtId="166" fontId="7" fillId="0" borderId="18" xfId="1" applyNumberFormat="1" applyFont="1" applyFill="1" applyBorder="1" applyAlignment="1">
      <alignment horizontal="center" vertical="top" wrapText="1"/>
    </xf>
    <xf numFmtId="166" fontId="7" fillId="0" borderId="19" xfId="1" applyNumberFormat="1" applyFont="1" applyFill="1" applyBorder="1" applyAlignment="1">
      <alignment horizontal="center" vertical="top" wrapText="1"/>
    </xf>
    <xf numFmtId="166" fontId="7" fillId="0" borderId="20" xfId="1" applyNumberFormat="1" applyFont="1" applyFill="1" applyBorder="1" applyAlignment="1">
      <alignment horizontal="center" vertical="top" wrapText="1"/>
    </xf>
    <xf numFmtId="164" fontId="7" fillId="0" borderId="31" xfId="1" applyNumberFormat="1" applyFont="1" applyFill="1" applyBorder="1" applyAlignment="1">
      <alignment horizontal="center" vertical="top" wrapText="1"/>
    </xf>
    <xf numFmtId="164" fontId="7" fillId="0" borderId="1" xfId="1" applyNumberFormat="1" applyFont="1" applyFill="1" applyBorder="1" applyAlignment="1">
      <alignment horizontal="center" vertical="top" wrapText="1"/>
    </xf>
    <xf numFmtId="164" fontId="7" fillId="0" borderId="30" xfId="1" applyNumberFormat="1" applyFont="1" applyFill="1" applyBorder="1" applyAlignment="1">
      <alignment horizontal="center" vertical="top" wrapText="1"/>
    </xf>
    <xf numFmtId="164" fontId="7" fillId="0" borderId="29" xfId="1" applyNumberFormat="1" applyFont="1" applyFill="1" applyBorder="1" applyAlignment="1">
      <alignment horizontal="center" vertical="top" wrapText="1"/>
    </xf>
    <xf numFmtId="43" fontId="7" fillId="0" borderId="18" xfId="1" applyFont="1" applyFill="1" applyBorder="1" applyAlignment="1">
      <alignment horizontal="center" vertical="top"/>
    </xf>
    <xf numFmtId="43" fontId="7" fillId="0" borderId="20" xfId="1" applyFont="1" applyFill="1" applyBorder="1" applyAlignment="1">
      <alignment horizontal="center" vertical="top"/>
    </xf>
    <xf numFmtId="43" fontId="7" fillId="0" borderId="19" xfId="1" applyFont="1" applyFill="1" applyBorder="1" applyAlignment="1">
      <alignment horizontal="center" vertical="top"/>
    </xf>
    <xf numFmtId="0" fontId="6" fillId="0" borderId="0" xfId="0" applyFont="1" applyFill="1" applyBorder="1" applyAlignment="1">
      <alignment horizontal="left" vertical="top" wrapText="1"/>
    </xf>
    <xf numFmtId="43" fontId="7" fillId="0" borderId="18" xfId="1" applyFont="1" applyFill="1" applyBorder="1" applyAlignment="1">
      <alignment horizontal="center"/>
    </xf>
    <xf numFmtId="43" fontId="7" fillId="0" borderId="19" xfId="1" applyFont="1" applyFill="1" applyBorder="1" applyAlignment="1">
      <alignment horizontal="center"/>
    </xf>
    <xf numFmtId="43" fontId="7" fillId="0" borderId="20" xfId="1" applyFont="1" applyFill="1" applyBorder="1" applyAlignment="1">
      <alignment horizontal="center"/>
    </xf>
    <xf numFmtId="43" fontId="11" fillId="0" borderId="18" xfId="1" applyFont="1" applyFill="1" applyBorder="1" applyAlignment="1">
      <alignment horizontal="center" vertical="top" wrapText="1"/>
    </xf>
    <xf numFmtId="43" fontId="11" fillId="0" borderId="19" xfId="1" applyFont="1" applyFill="1" applyBorder="1" applyAlignment="1">
      <alignment horizontal="center" vertical="top" wrapText="1"/>
    </xf>
    <xf numFmtId="43" fontId="11" fillId="0" borderId="20" xfId="1" applyFont="1" applyFill="1" applyBorder="1" applyAlignment="1">
      <alignment horizontal="center" vertical="top" wrapText="1"/>
    </xf>
    <xf numFmtId="0" fontId="9" fillId="0" borderId="0" xfId="0" applyFont="1" applyFill="1" applyBorder="1" applyAlignment="1">
      <alignment horizontal="left" wrapText="1"/>
    </xf>
    <xf numFmtId="43" fontId="9" fillId="0" borderId="5" xfId="1" applyFont="1" applyFill="1" applyBorder="1" applyAlignment="1">
      <alignment horizontal="center" vertical="center" wrapText="1"/>
    </xf>
    <xf numFmtId="43" fontId="9" fillId="0" borderId="26" xfId="1" applyFont="1" applyFill="1" applyBorder="1" applyAlignment="1">
      <alignment horizontal="center" vertical="center" wrapText="1"/>
    </xf>
  </cellXfs>
  <cellStyles count="62">
    <cellStyle name="Comma" xfId="1" builtinId="3"/>
    <cellStyle name="Comma [0] 2" xfId="12" xr:uid="{49F603BD-F83B-48CB-91D6-E4E28F0BA65C}"/>
    <cellStyle name="Comma 10" xfId="16" xr:uid="{A4A3B6A3-B6BC-493F-9BBF-B88095724E02}"/>
    <cellStyle name="Comma 11" xfId="28" xr:uid="{199FD155-B11C-4CD9-9C4D-0D37BBA28D3A}"/>
    <cellStyle name="Comma 12" xfId="30" xr:uid="{D57B1851-9FBA-423B-92ED-86B80EDC3C18}"/>
    <cellStyle name="Comma 13" xfId="32" xr:uid="{64F7BFE4-A18F-4E76-AC11-EC9405F57E95}"/>
    <cellStyle name="Comma 14" xfId="34" xr:uid="{CC8CF2EE-4116-42FC-8439-3D7192E20C26}"/>
    <cellStyle name="Comma 15" xfId="37" xr:uid="{BE683507-10E9-402F-9E4C-8DBAEB8D2FF5}"/>
    <cellStyle name="Comma 16" xfId="26" xr:uid="{38358429-75AD-44BA-9A73-EAC1B5AC5EC3}"/>
    <cellStyle name="Comma 17" xfId="40" xr:uid="{B5C2C775-F4FA-4036-B48B-62DD7C314FEF}"/>
    <cellStyle name="Comma 18" xfId="42" xr:uid="{FA8BB5C8-9B13-431E-8B87-CD1A109CFEEC}"/>
    <cellStyle name="Comma 19" xfId="38" xr:uid="{0B508D1B-0802-416A-8F85-7AE7B830A03C}"/>
    <cellStyle name="Comma 2" xfId="6" xr:uid="{448D4A53-710A-485B-AA6E-B70B1D7FC6F0}"/>
    <cellStyle name="Comma 2 2" xfId="61" xr:uid="{6C9262CE-E44C-45AC-9839-3C01E0363584}"/>
    <cellStyle name="Comma 20" xfId="44" xr:uid="{B168508D-94C0-4164-8A2E-BF00A4F39BA0}"/>
    <cellStyle name="Comma 21" xfId="47" xr:uid="{5CA2EEE6-DBE6-47DE-B149-6FD8F4E40B0E}"/>
    <cellStyle name="Comma 22" xfId="49" xr:uid="{5CACD8D8-1455-4D38-A0C1-67D940D766F6}"/>
    <cellStyle name="Comma 23" xfId="51" xr:uid="{73589ED4-D3C1-4B77-930B-BD4F55D61425}"/>
    <cellStyle name="Comma 24" xfId="53" xr:uid="{1AFBBF2F-36E2-48D8-B780-8183900A206E}"/>
    <cellStyle name="Comma 25" xfId="55" xr:uid="{0F4729D0-D74D-4F1E-BFA6-C0BBED7E624D}"/>
    <cellStyle name="Comma 26" xfId="57" xr:uid="{810CCD9C-0D1E-4728-9ABF-E1776D008FDF}"/>
    <cellStyle name="Comma 3" xfId="11" xr:uid="{5921FD12-1118-4795-BB9F-0E92E9EEDD0C}"/>
    <cellStyle name="Comma 4" xfId="15" xr:uid="{40E35E58-FCC5-4F55-B84A-6DB312ACC562}"/>
    <cellStyle name="Comma 5" xfId="14" xr:uid="{668B8ADB-1174-42C1-BA11-F0C00A839C07}"/>
    <cellStyle name="Comma 6" xfId="18" xr:uid="{20F04CC9-ECEA-4CA2-A55D-F1E57FBD7CED}"/>
    <cellStyle name="Comma 7" xfId="20" xr:uid="{5A5341A9-6CB1-491E-AD5B-A2739E1EC8AA}"/>
    <cellStyle name="Comma 8" xfId="22" xr:uid="{F128A17A-20E1-401E-AEA9-E2D9D641C882}"/>
    <cellStyle name="Comma 9" xfId="25" xr:uid="{6F174FE1-6ED4-408B-9379-854D961ECFD2}"/>
    <cellStyle name="Currency" xfId="2" builtinId="4"/>
    <cellStyle name="Currency [0] 2" xfId="10" xr:uid="{B6A00576-F70E-4EDB-B0F5-A031049EC49F}"/>
    <cellStyle name="Currency 10" xfId="29" xr:uid="{86495B9E-9D5B-43C8-9F40-76CBBA29367A}"/>
    <cellStyle name="Currency 11" xfId="31" xr:uid="{B75CCF0D-7503-4DB4-9400-8A23AE825DA0}"/>
    <cellStyle name="Currency 12" xfId="33" xr:uid="{F869BDCE-67E3-4609-A04E-3EF8A713A2B0}"/>
    <cellStyle name="Currency 13" xfId="35" xr:uid="{B097D068-12F1-4779-9CC7-0D00BDA978D4}"/>
    <cellStyle name="Currency 14" xfId="36" xr:uid="{A536E6C8-B273-46C4-9F07-CEA03874A9A2}"/>
    <cellStyle name="Currency 15" xfId="39" xr:uid="{70F002C9-AF7C-467A-A6FB-A004D7084F95}"/>
    <cellStyle name="Currency 16" xfId="41" xr:uid="{84B4CA61-1D79-4D50-8B48-1ADD017B84DF}"/>
    <cellStyle name="Currency 17" xfId="43" xr:uid="{66ACE6C9-4C05-4818-9854-7B496507D1A5}"/>
    <cellStyle name="Currency 18" xfId="45" xr:uid="{CFE576CA-5C61-476E-989B-C11F454D1BE5}"/>
    <cellStyle name="Currency 19" xfId="46" xr:uid="{FEC1D5CF-2AA4-4DE0-A27D-182FE3041D3C}"/>
    <cellStyle name="Currency 2" xfId="9" xr:uid="{5886E6BC-70E9-4866-AC27-D8553D70F894}"/>
    <cellStyle name="Currency 20" xfId="48" xr:uid="{2C549E51-D4A8-4328-B3FF-99834193DF70}"/>
    <cellStyle name="Currency 21" xfId="50" xr:uid="{063848EE-EB3D-4937-B9A6-5B370972DA89}"/>
    <cellStyle name="Currency 22" xfId="52" xr:uid="{D3B58640-B01F-45D5-B7A9-27162B3E5B67}"/>
    <cellStyle name="Currency 23" xfId="54" xr:uid="{CCB4C779-3513-4AA2-B54B-1C59AB8F51B8}"/>
    <cellStyle name="Currency 24" xfId="56" xr:uid="{4B1A2CC7-E8B3-415C-BB51-7C7644B9BDE2}"/>
    <cellStyle name="Currency 25" xfId="58" xr:uid="{B3223AAC-BA96-40D3-850F-30F792BF6970}"/>
    <cellStyle name="Currency 3" xfId="13" xr:uid="{FFDC16E3-1882-417F-B567-791CEA6FC733}"/>
    <cellStyle name="Currency 4" xfId="17" xr:uid="{66C8DD99-9497-41BA-9376-7B3C49FD605E}"/>
    <cellStyle name="Currency 5" xfId="19" xr:uid="{E3D92F4D-4763-4E34-8BAA-5298C29EF2BC}"/>
    <cellStyle name="Currency 6" xfId="21" xr:uid="{36DD1E83-F6F7-4E8D-B8AE-75E12B805A13}"/>
    <cellStyle name="Currency 7" xfId="23" xr:uid="{AE15BE5C-7108-4AE9-895F-D8F674D7217D}"/>
    <cellStyle name="Currency 8" xfId="24" xr:uid="{BAEAF1D0-3E4B-4F07-8A48-5D36B8AB3014}"/>
    <cellStyle name="Currency 9" xfId="27" xr:uid="{D3FFAB22-2988-4E7C-9EB8-40DE15B59474}"/>
    <cellStyle name="Good" xfId="5" builtinId="26"/>
    <cellStyle name="Hyperlink" xfId="59" builtinId="8"/>
    <cellStyle name="Normal" xfId="0" builtinId="0"/>
    <cellStyle name="Normal 2" xfId="7" xr:uid="{B2A89EAC-DA9A-4DF9-B523-F73AE4BD538F}"/>
    <cellStyle name="Normal 81 13 5" xfId="60" xr:uid="{99C98E8F-12A8-48E6-86C2-8CCD487C72E3}"/>
    <cellStyle name="Percent" xfId="3" builtinId="5"/>
    <cellStyle name="Percent 2" xfId="8" xr:uid="{1E144749-8219-482A-9E6F-AA66BE0F9B81}"/>
    <cellStyle name="Style 1" xfId="4" xr:uid="{36385BDA-F8C2-4CF8-9599-91FACE462E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audet/AppData/Local/Microsoft/Windows/Temporary%20Internet%20Files/Content.Outlook/2DUD2X4G/Copy%20of%20ICMM%202018%20Information_JA%20edi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MM Form "/>
      <sheetName val="Country Breakdown "/>
      <sheetName val="Closure "/>
      <sheetName val="Intelex 02.05"/>
      <sheetName val="Lumwana Breakdown"/>
    </sheetNames>
    <sheetDataSet>
      <sheetData sheetId="0"/>
      <sheetData sheetId="1"/>
      <sheetData sheetId="2">
        <row r="8">
          <cell r="R8">
            <v>42284.75</v>
          </cell>
          <cell r="AH8">
            <v>100544.15</v>
          </cell>
        </row>
        <row r="18">
          <cell r="R18">
            <v>70382.59</v>
          </cell>
          <cell r="AH18">
            <v>56600</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esponsibility@barrick.com"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1D995-3F57-4FE8-B504-79F310A5747A}">
  <dimension ref="A1:M136"/>
  <sheetViews>
    <sheetView showGridLines="0" tabSelected="1" zoomScale="85" zoomScaleNormal="85" zoomScalePageLayoutView="90" workbookViewId="0">
      <pane ySplit="1" topLeftCell="A2" activePane="bottomLeft" state="frozen"/>
      <selection pane="bottomLeft"/>
    </sheetView>
  </sheetViews>
  <sheetFormatPr defaultColWidth="8.85546875" defaultRowHeight="15" x14ac:dyDescent="0.25"/>
  <cols>
    <col min="1" max="1" width="11" style="657" customWidth="1"/>
    <col min="2" max="2" width="21" style="658" customWidth="1"/>
    <col min="3" max="3" width="16.7109375" style="657" customWidth="1"/>
    <col min="4" max="4" width="32" style="658" customWidth="1"/>
    <col min="5" max="5" width="10.140625" style="658" customWidth="1"/>
    <col min="6" max="6" width="58.85546875" style="658" customWidth="1"/>
    <col min="7" max="7" width="18" style="647" customWidth="1"/>
    <col min="8" max="9" width="19.28515625" style="647" customWidth="1"/>
    <col min="10" max="10" width="106.28515625" style="648" customWidth="1"/>
    <col min="11" max="16384" width="8.85546875" style="637"/>
  </cols>
  <sheetData>
    <row r="1" spans="1:10" s="636" customFormat="1" ht="25.5" x14ac:dyDescent="0.25">
      <c r="A1" s="640" t="s">
        <v>0</v>
      </c>
      <c r="B1" s="640" t="s">
        <v>1</v>
      </c>
      <c r="C1" s="640" t="s">
        <v>2</v>
      </c>
      <c r="D1" s="640" t="s">
        <v>3</v>
      </c>
      <c r="E1" s="640" t="s">
        <v>4</v>
      </c>
      <c r="F1" s="640" t="s">
        <v>5</v>
      </c>
      <c r="G1" s="640" t="s">
        <v>6</v>
      </c>
      <c r="H1" s="640" t="s">
        <v>7</v>
      </c>
      <c r="I1" s="640" t="s">
        <v>8</v>
      </c>
      <c r="J1" s="640" t="s">
        <v>9</v>
      </c>
    </row>
    <row r="2" spans="1:10" x14ac:dyDescent="0.25">
      <c r="A2" s="697" t="s">
        <v>10</v>
      </c>
      <c r="B2" s="698" t="s">
        <v>11</v>
      </c>
      <c r="C2" s="697" t="s">
        <v>12</v>
      </c>
      <c r="D2" s="698" t="s">
        <v>13</v>
      </c>
      <c r="E2" s="698" t="s">
        <v>14</v>
      </c>
      <c r="F2" s="698" t="s">
        <v>15</v>
      </c>
      <c r="G2" s="696"/>
      <c r="H2" s="696"/>
      <c r="I2" s="696"/>
      <c r="J2" s="641" t="s">
        <v>16</v>
      </c>
    </row>
    <row r="3" spans="1:10" ht="25.5" x14ac:dyDescent="0.25">
      <c r="A3" s="642" t="s">
        <v>10</v>
      </c>
      <c r="B3" s="643" t="s">
        <v>11</v>
      </c>
      <c r="C3" s="642" t="s">
        <v>17</v>
      </c>
      <c r="D3" s="643" t="s">
        <v>18</v>
      </c>
      <c r="E3" s="643" t="s">
        <v>14</v>
      </c>
      <c r="F3" s="643" t="s">
        <v>19</v>
      </c>
      <c r="G3" s="644"/>
      <c r="H3" s="644"/>
      <c r="I3" s="644"/>
      <c r="J3" s="645" t="s">
        <v>20</v>
      </c>
    </row>
    <row r="4" spans="1:10" x14ac:dyDescent="0.25">
      <c r="A4" s="642" t="s">
        <v>10</v>
      </c>
      <c r="B4" s="643" t="s">
        <v>11</v>
      </c>
      <c r="C4" s="642" t="s">
        <v>21</v>
      </c>
      <c r="D4" s="643" t="s">
        <v>22</v>
      </c>
      <c r="E4" s="643" t="s">
        <v>14</v>
      </c>
      <c r="F4" s="643" t="s">
        <v>23</v>
      </c>
      <c r="G4" s="644"/>
      <c r="H4" s="644"/>
      <c r="I4" s="644"/>
      <c r="J4" s="645"/>
    </row>
    <row r="5" spans="1:10" x14ac:dyDescent="0.25">
      <c r="A5" s="642" t="s">
        <v>10</v>
      </c>
      <c r="B5" s="643" t="s">
        <v>11</v>
      </c>
      <c r="C5" s="642" t="s">
        <v>24</v>
      </c>
      <c r="D5" s="643" t="s">
        <v>25</v>
      </c>
      <c r="E5" s="643" t="s">
        <v>14</v>
      </c>
      <c r="F5" s="643" t="s">
        <v>23</v>
      </c>
      <c r="G5" s="644"/>
      <c r="H5" s="644"/>
      <c r="I5" s="644"/>
      <c r="J5" s="645"/>
    </row>
    <row r="6" spans="1:10" x14ac:dyDescent="0.25">
      <c r="A6" s="642" t="s">
        <v>10</v>
      </c>
      <c r="B6" s="643" t="s">
        <v>11</v>
      </c>
      <c r="C6" s="642" t="s">
        <v>26</v>
      </c>
      <c r="D6" s="643" t="s">
        <v>27</v>
      </c>
      <c r="E6" s="643" t="s">
        <v>14</v>
      </c>
      <c r="F6" s="643" t="s">
        <v>19</v>
      </c>
      <c r="G6" s="644"/>
      <c r="H6" s="644"/>
      <c r="I6" s="644"/>
      <c r="J6" s="645" t="s">
        <v>28</v>
      </c>
    </row>
    <row r="7" spans="1:10" ht="63.75" x14ac:dyDescent="0.25">
      <c r="A7" s="642" t="s">
        <v>10</v>
      </c>
      <c r="B7" s="643" t="s">
        <v>11</v>
      </c>
      <c r="C7" s="642" t="s">
        <v>29</v>
      </c>
      <c r="D7" s="643" t="s">
        <v>30</v>
      </c>
      <c r="E7" s="643" t="s">
        <v>14</v>
      </c>
      <c r="F7" s="643" t="s">
        <v>31</v>
      </c>
      <c r="G7" s="644"/>
      <c r="H7" s="644"/>
      <c r="I7" s="644"/>
      <c r="J7" s="645" t="s">
        <v>32</v>
      </c>
    </row>
    <row r="8" spans="1:10" x14ac:dyDescent="0.25">
      <c r="A8" s="813" t="s">
        <v>10</v>
      </c>
      <c r="B8" s="816" t="s">
        <v>11</v>
      </c>
      <c r="C8" s="813" t="s">
        <v>33</v>
      </c>
      <c r="D8" s="816" t="s">
        <v>34</v>
      </c>
      <c r="E8" s="816" t="s">
        <v>14</v>
      </c>
      <c r="F8" s="816" t="s">
        <v>35</v>
      </c>
      <c r="G8" s="810"/>
      <c r="H8" s="810"/>
      <c r="I8" s="694"/>
      <c r="J8" s="646" t="s">
        <v>36</v>
      </c>
    </row>
    <row r="9" spans="1:10" ht="90.75" customHeight="1" x14ac:dyDescent="0.25">
      <c r="A9" s="814"/>
      <c r="B9" s="817"/>
      <c r="C9" s="814"/>
      <c r="D9" s="817"/>
      <c r="E9" s="817"/>
      <c r="F9" s="817"/>
      <c r="G9" s="811"/>
      <c r="H9" s="811"/>
      <c r="I9" s="695"/>
      <c r="J9" s="648" t="s">
        <v>37</v>
      </c>
    </row>
    <row r="10" spans="1:10" ht="15" customHeight="1" x14ac:dyDescent="0.25">
      <c r="A10" s="814"/>
      <c r="B10" s="817"/>
      <c r="C10" s="814"/>
      <c r="D10" s="817"/>
      <c r="E10" s="817"/>
      <c r="F10" s="817"/>
      <c r="G10" s="811"/>
      <c r="H10" s="811"/>
      <c r="I10" s="695"/>
      <c r="J10" s="648" t="s">
        <v>38</v>
      </c>
    </row>
    <row r="11" spans="1:10" ht="14.25" customHeight="1" x14ac:dyDescent="0.25">
      <c r="A11" s="814"/>
      <c r="B11" s="817"/>
      <c r="C11" s="814"/>
      <c r="D11" s="817"/>
      <c r="E11" s="817"/>
      <c r="F11" s="817"/>
      <c r="G11" s="811"/>
      <c r="H11" s="811"/>
      <c r="I11" s="695"/>
      <c r="J11" s="648" t="s">
        <v>39</v>
      </c>
    </row>
    <row r="12" spans="1:10" ht="30" customHeight="1" x14ac:dyDescent="0.25">
      <c r="A12" s="815"/>
      <c r="B12" s="818"/>
      <c r="C12" s="815"/>
      <c r="D12" s="818"/>
      <c r="E12" s="818"/>
      <c r="F12" s="818"/>
      <c r="G12" s="812"/>
      <c r="H12" s="812"/>
      <c r="I12" s="696"/>
      <c r="J12" s="641" t="s">
        <v>40</v>
      </c>
    </row>
    <row r="13" spans="1:10" ht="25.5" x14ac:dyDescent="0.25">
      <c r="A13" s="642" t="s">
        <v>10</v>
      </c>
      <c r="B13" s="643" t="s">
        <v>11</v>
      </c>
      <c r="C13" s="642" t="s">
        <v>41</v>
      </c>
      <c r="D13" s="643" t="s">
        <v>42</v>
      </c>
      <c r="E13" s="643" t="s">
        <v>14</v>
      </c>
      <c r="F13" s="643" t="s">
        <v>43</v>
      </c>
      <c r="G13" s="644"/>
      <c r="H13" s="644"/>
      <c r="I13" s="644"/>
      <c r="J13" s="645" t="s">
        <v>44</v>
      </c>
    </row>
    <row r="14" spans="1:10" x14ac:dyDescent="0.25">
      <c r="A14" s="642" t="s">
        <v>10</v>
      </c>
      <c r="B14" s="643" t="s">
        <v>11</v>
      </c>
      <c r="C14" s="642" t="s">
        <v>45</v>
      </c>
      <c r="D14" s="643" t="s">
        <v>46</v>
      </c>
      <c r="E14" s="643" t="s">
        <v>14</v>
      </c>
      <c r="F14" s="643" t="s">
        <v>47</v>
      </c>
      <c r="G14" s="644"/>
      <c r="H14" s="644"/>
      <c r="I14" s="644"/>
      <c r="J14" s="645"/>
    </row>
    <row r="15" spans="1:10" ht="25.5" x14ac:dyDescent="0.25">
      <c r="A15" s="642" t="s">
        <v>10</v>
      </c>
      <c r="B15" s="643" t="s">
        <v>11</v>
      </c>
      <c r="C15" s="642" t="s">
        <v>48</v>
      </c>
      <c r="D15" s="643" t="s">
        <v>49</v>
      </c>
      <c r="E15" s="643" t="s">
        <v>14</v>
      </c>
      <c r="F15" s="643" t="s">
        <v>50</v>
      </c>
      <c r="G15" s="644"/>
      <c r="H15" s="644"/>
      <c r="I15" s="644"/>
      <c r="J15" s="645"/>
    </row>
    <row r="16" spans="1:10" ht="51" x14ac:dyDescent="0.25">
      <c r="A16" s="642" t="s">
        <v>10</v>
      </c>
      <c r="B16" s="643" t="s">
        <v>11</v>
      </c>
      <c r="C16" s="642" t="s">
        <v>51</v>
      </c>
      <c r="D16" s="643" t="s">
        <v>52</v>
      </c>
      <c r="E16" s="643" t="s">
        <v>14</v>
      </c>
      <c r="F16" s="643" t="s">
        <v>53</v>
      </c>
      <c r="G16" s="644"/>
      <c r="H16" s="644">
        <v>7</v>
      </c>
      <c r="I16" s="644"/>
      <c r="J16" s="645" t="s">
        <v>54</v>
      </c>
    </row>
    <row r="17" spans="1:10" x14ac:dyDescent="0.25">
      <c r="A17" s="642" t="s">
        <v>10</v>
      </c>
      <c r="B17" s="643" t="s">
        <v>11</v>
      </c>
      <c r="C17" s="642" t="s">
        <v>55</v>
      </c>
      <c r="D17" s="643" t="s">
        <v>56</v>
      </c>
      <c r="E17" s="643" t="s">
        <v>14</v>
      </c>
      <c r="F17" s="643" t="s">
        <v>23</v>
      </c>
      <c r="G17" s="644"/>
      <c r="H17" s="644"/>
      <c r="I17" s="644"/>
      <c r="J17" s="645"/>
    </row>
    <row r="18" spans="1:10" x14ac:dyDescent="0.25">
      <c r="A18" s="642" t="s">
        <v>10</v>
      </c>
      <c r="B18" s="643" t="s">
        <v>11</v>
      </c>
      <c r="C18" s="642" t="s">
        <v>57</v>
      </c>
      <c r="D18" s="643" t="s">
        <v>58</v>
      </c>
      <c r="E18" s="643" t="s">
        <v>14</v>
      </c>
      <c r="F18" s="643" t="s">
        <v>23</v>
      </c>
      <c r="G18" s="644"/>
      <c r="H18" s="644"/>
      <c r="I18" s="644"/>
      <c r="J18" s="645"/>
    </row>
    <row r="19" spans="1:10" ht="25.5" x14ac:dyDescent="0.25">
      <c r="A19" s="642" t="s">
        <v>10</v>
      </c>
      <c r="B19" s="643" t="s">
        <v>11</v>
      </c>
      <c r="C19" s="642" t="s">
        <v>59</v>
      </c>
      <c r="D19" s="643" t="s">
        <v>60</v>
      </c>
      <c r="E19" s="643" t="s">
        <v>14</v>
      </c>
      <c r="F19" s="643" t="s">
        <v>61</v>
      </c>
      <c r="G19" s="644">
        <v>2</v>
      </c>
      <c r="H19" s="644"/>
      <c r="I19" s="644"/>
      <c r="J19" s="645"/>
    </row>
    <row r="20" spans="1:10" ht="25.5" x14ac:dyDescent="0.25">
      <c r="A20" s="642" t="s">
        <v>10</v>
      </c>
      <c r="B20" s="643" t="s">
        <v>11</v>
      </c>
      <c r="C20" s="642" t="s">
        <v>62</v>
      </c>
      <c r="D20" s="643" t="s">
        <v>63</v>
      </c>
      <c r="E20" s="643" t="s">
        <v>14</v>
      </c>
      <c r="F20" s="643" t="s">
        <v>64</v>
      </c>
      <c r="G20" s="644">
        <v>2</v>
      </c>
      <c r="H20" s="644"/>
      <c r="I20" s="644"/>
      <c r="J20" s="645"/>
    </row>
    <row r="21" spans="1:10" ht="25.5" x14ac:dyDescent="0.25">
      <c r="A21" s="642" t="s">
        <v>10</v>
      </c>
      <c r="B21" s="643" t="s">
        <v>11</v>
      </c>
      <c r="C21" s="642" t="s">
        <v>65</v>
      </c>
      <c r="D21" s="643" t="s">
        <v>66</v>
      </c>
      <c r="E21" s="643" t="s">
        <v>14</v>
      </c>
      <c r="F21" s="643" t="s">
        <v>67</v>
      </c>
      <c r="G21" s="644">
        <v>2</v>
      </c>
      <c r="H21" s="644"/>
      <c r="I21" s="644">
        <f>16</f>
        <v>16</v>
      </c>
      <c r="J21" s="645"/>
    </row>
    <row r="22" spans="1:10" ht="25.5" x14ac:dyDescent="0.25">
      <c r="A22" s="642" t="s">
        <v>10</v>
      </c>
      <c r="B22" s="643" t="s">
        <v>11</v>
      </c>
      <c r="C22" s="642" t="s">
        <v>68</v>
      </c>
      <c r="D22" s="643" t="s">
        <v>69</v>
      </c>
      <c r="E22" s="643" t="s">
        <v>14</v>
      </c>
      <c r="F22" s="643" t="s">
        <v>70</v>
      </c>
      <c r="G22" s="644"/>
      <c r="H22" s="644"/>
      <c r="I22" s="644"/>
      <c r="J22" s="645"/>
    </row>
    <row r="23" spans="1:10" x14ac:dyDescent="0.25">
      <c r="A23" s="642" t="s">
        <v>10</v>
      </c>
      <c r="B23" s="643" t="s">
        <v>11</v>
      </c>
      <c r="C23" s="642" t="s">
        <v>71</v>
      </c>
      <c r="D23" s="643" t="s">
        <v>72</v>
      </c>
      <c r="E23" s="643" t="s">
        <v>14</v>
      </c>
      <c r="F23" s="643" t="s">
        <v>73</v>
      </c>
      <c r="G23" s="644">
        <v>2</v>
      </c>
      <c r="H23" s="644"/>
      <c r="I23" s="644"/>
      <c r="J23" s="645"/>
    </row>
    <row r="24" spans="1:10" x14ac:dyDescent="0.25">
      <c r="A24" s="642"/>
      <c r="B24" s="643" t="s">
        <v>11</v>
      </c>
      <c r="C24" s="642" t="s">
        <v>74</v>
      </c>
      <c r="D24" s="643" t="s">
        <v>75</v>
      </c>
      <c r="E24" s="643"/>
      <c r="F24" s="643" t="s">
        <v>73</v>
      </c>
      <c r="G24" s="644">
        <v>2</v>
      </c>
      <c r="H24" s="644"/>
      <c r="I24" s="644"/>
      <c r="J24" s="645"/>
    </row>
    <row r="25" spans="1:10" ht="38.25" x14ac:dyDescent="0.25">
      <c r="A25" s="642"/>
      <c r="B25" s="643" t="s">
        <v>11</v>
      </c>
      <c r="C25" s="642" t="s">
        <v>76</v>
      </c>
      <c r="D25" s="643" t="s">
        <v>77</v>
      </c>
      <c r="E25" s="643"/>
      <c r="F25" s="643" t="s">
        <v>73</v>
      </c>
      <c r="G25" s="644"/>
      <c r="H25" s="644"/>
      <c r="I25" s="644"/>
      <c r="J25" s="645"/>
    </row>
    <row r="26" spans="1:10" ht="38.25" x14ac:dyDescent="0.25">
      <c r="A26" s="642"/>
      <c r="B26" s="643" t="s">
        <v>11</v>
      </c>
      <c r="C26" s="642" t="s">
        <v>78</v>
      </c>
      <c r="D26" s="643" t="s">
        <v>79</v>
      </c>
      <c r="E26" s="643"/>
      <c r="F26" s="643" t="s">
        <v>80</v>
      </c>
      <c r="G26" s="644">
        <v>10</v>
      </c>
      <c r="H26" s="644"/>
      <c r="I26" s="644"/>
      <c r="J26" s="645"/>
    </row>
    <row r="27" spans="1:10" ht="25.5" x14ac:dyDescent="0.25">
      <c r="A27" s="642"/>
      <c r="B27" s="643" t="s">
        <v>11</v>
      </c>
      <c r="C27" s="642" t="s">
        <v>81</v>
      </c>
      <c r="D27" s="643" t="s">
        <v>82</v>
      </c>
      <c r="E27" s="643" t="s">
        <v>14</v>
      </c>
      <c r="F27" s="643" t="s">
        <v>83</v>
      </c>
      <c r="G27" s="644"/>
      <c r="H27" s="644"/>
      <c r="I27" s="644"/>
      <c r="J27" s="645"/>
    </row>
    <row r="28" spans="1:10" ht="25.5" x14ac:dyDescent="0.25">
      <c r="A28" s="642"/>
      <c r="B28" s="643" t="s">
        <v>11</v>
      </c>
      <c r="C28" s="642" t="s">
        <v>84</v>
      </c>
      <c r="D28" s="643" t="s">
        <v>85</v>
      </c>
      <c r="E28" s="643" t="s">
        <v>14</v>
      </c>
      <c r="F28" s="643" t="s">
        <v>86</v>
      </c>
      <c r="G28" s="644"/>
      <c r="H28" s="644"/>
      <c r="I28" s="644"/>
      <c r="J28" s="645"/>
    </row>
    <row r="29" spans="1:10" ht="25.5" x14ac:dyDescent="0.25">
      <c r="A29" s="642"/>
      <c r="B29" s="643" t="s">
        <v>11</v>
      </c>
      <c r="C29" s="642" t="s">
        <v>87</v>
      </c>
      <c r="D29" s="643" t="s">
        <v>88</v>
      </c>
      <c r="E29" s="643" t="s">
        <v>14</v>
      </c>
      <c r="F29" s="643" t="s">
        <v>86</v>
      </c>
      <c r="G29" s="644"/>
      <c r="H29" s="644"/>
      <c r="I29" s="644"/>
      <c r="J29" s="645"/>
    </row>
    <row r="30" spans="1:10" x14ac:dyDescent="0.25">
      <c r="A30" s="642"/>
      <c r="B30" s="643" t="s">
        <v>11</v>
      </c>
      <c r="C30" s="642" t="s">
        <v>89</v>
      </c>
      <c r="D30" s="643" t="s">
        <v>90</v>
      </c>
      <c r="E30" s="643" t="s">
        <v>14</v>
      </c>
      <c r="F30" s="643" t="s">
        <v>86</v>
      </c>
      <c r="G30" s="644"/>
      <c r="H30" s="644"/>
      <c r="I30" s="644"/>
      <c r="J30" s="645"/>
    </row>
    <row r="31" spans="1:10" x14ac:dyDescent="0.25">
      <c r="A31" s="642"/>
      <c r="B31" s="643" t="s">
        <v>11</v>
      </c>
      <c r="C31" s="642" t="s">
        <v>91</v>
      </c>
      <c r="D31" s="643" t="s">
        <v>92</v>
      </c>
      <c r="E31" s="643" t="s">
        <v>14</v>
      </c>
      <c r="F31" s="643" t="s">
        <v>93</v>
      </c>
      <c r="G31" s="644"/>
      <c r="H31" s="644"/>
      <c r="I31" s="644"/>
      <c r="J31" s="645"/>
    </row>
    <row r="32" spans="1:10" ht="25.5" x14ac:dyDescent="0.25">
      <c r="A32" s="642"/>
      <c r="B32" s="643" t="s">
        <v>11</v>
      </c>
      <c r="C32" s="642" t="s">
        <v>94</v>
      </c>
      <c r="D32" s="643" t="s">
        <v>95</v>
      </c>
      <c r="E32" s="643" t="s">
        <v>14</v>
      </c>
      <c r="F32" s="643" t="s">
        <v>86</v>
      </c>
      <c r="G32" s="644"/>
      <c r="H32" s="644"/>
      <c r="I32" s="644"/>
      <c r="J32" s="645"/>
    </row>
    <row r="33" spans="1:10" ht="25.5" x14ac:dyDescent="0.25">
      <c r="A33" s="642"/>
      <c r="B33" s="643" t="s">
        <v>11</v>
      </c>
      <c r="C33" s="642" t="s">
        <v>96</v>
      </c>
      <c r="D33" s="643" t="s">
        <v>97</v>
      </c>
      <c r="E33" s="643" t="s">
        <v>14</v>
      </c>
      <c r="F33" s="643" t="s">
        <v>86</v>
      </c>
      <c r="G33" s="644"/>
      <c r="H33" s="644"/>
      <c r="I33" s="644"/>
      <c r="J33" s="645"/>
    </row>
    <row r="34" spans="1:10" x14ac:dyDescent="0.25">
      <c r="A34" s="642" t="s">
        <v>10</v>
      </c>
      <c r="B34" s="643" t="s">
        <v>11</v>
      </c>
      <c r="C34" s="642" t="s">
        <v>98</v>
      </c>
      <c r="D34" s="643" t="s">
        <v>99</v>
      </c>
      <c r="E34" s="643" t="s">
        <v>14</v>
      </c>
      <c r="F34" s="643" t="s">
        <v>80</v>
      </c>
      <c r="G34" s="644"/>
      <c r="H34" s="644"/>
      <c r="I34" s="644"/>
      <c r="J34" s="645"/>
    </row>
    <row r="35" spans="1:10" x14ac:dyDescent="0.25">
      <c r="A35" s="642" t="s">
        <v>10</v>
      </c>
      <c r="B35" s="643" t="s">
        <v>11</v>
      </c>
      <c r="C35" s="642" t="s">
        <v>100</v>
      </c>
      <c r="D35" s="643" t="s">
        <v>101</v>
      </c>
      <c r="E35" s="643" t="s">
        <v>14</v>
      </c>
      <c r="F35" s="643" t="s">
        <v>102</v>
      </c>
      <c r="G35" s="644"/>
      <c r="H35" s="644"/>
      <c r="I35" s="644"/>
      <c r="J35" s="645" t="s">
        <v>103</v>
      </c>
    </row>
    <row r="36" spans="1:10" ht="25.5" x14ac:dyDescent="0.25">
      <c r="A36" s="642" t="s">
        <v>10</v>
      </c>
      <c r="B36" s="643" t="s">
        <v>11</v>
      </c>
      <c r="C36" s="642" t="s">
        <v>104</v>
      </c>
      <c r="D36" s="643" t="s">
        <v>105</v>
      </c>
      <c r="E36" s="643" t="s">
        <v>14</v>
      </c>
      <c r="F36" s="643" t="s">
        <v>80</v>
      </c>
      <c r="G36" s="644"/>
      <c r="H36" s="644"/>
      <c r="I36" s="644"/>
      <c r="J36" s="645"/>
    </row>
    <row r="37" spans="1:10" ht="25.5" x14ac:dyDescent="0.25">
      <c r="A37" s="642" t="s">
        <v>10</v>
      </c>
      <c r="B37" s="643" t="s">
        <v>11</v>
      </c>
      <c r="C37" s="642" t="s">
        <v>106</v>
      </c>
      <c r="D37" s="643" t="s">
        <v>107</v>
      </c>
      <c r="E37" s="643" t="s">
        <v>14</v>
      </c>
      <c r="F37" s="643" t="s">
        <v>80</v>
      </c>
      <c r="G37" s="644"/>
      <c r="H37" s="644"/>
      <c r="I37" s="644"/>
      <c r="J37" s="645"/>
    </row>
    <row r="38" spans="1:10" x14ac:dyDescent="0.25">
      <c r="A38" s="642" t="s">
        <v>10</v>
      </c>
      <c r="B38" s="643" t="s">
        <v>11</v>
      </c>
      <c r="C38" s="642" t="s">
        <v>108</v>
      </c>
      <c r="D38" s="643" t="s">
        <v>109</v>
      </c>
      <c r="E38" s="643" t="s">
        <v>14</v>
      </c>
      <c r="F38" s="643" t="s">
        <v>80</v>
      </c>
      <c r="G38" s="644"/>
      <c r="H38" s="644"/>
      <c r="I38" s="644"/>
      <c r="J38" s="645"/>
    </row>
    <row r="39" spans="1:10" ht="25.5" x14ac:dyDescent="0.25">
      <c r="A39" s="642" t="s">
        <v>10</v>
      </c>
      <c r="B39" s="643" t="s">
        <v>11</v>
      </c>
      <c r="C39" s="642" t="s">
        <v>110</v>
      </c>
      <c r="D39" s="643" t="s">
        <v>111</v>
      </c>
      <c r="E39" s="643" t="s">
        <v>14</v>
      </c>
      <c r="F39" s="643" t="s">
        <v>15</v>
      </c>
      <c r="G39" s="644"/>
      <c r="H39" s="644"/>
      <c r="I39" s="644"/>
      <c r="J39" s="645"/>
    </row>
    <row r="40" spans="1:10" ht="25.5" x14ac:dyDescent="0.25">
      <c r="A40" s="642" t="s">
        <v>10</v>
      </c>
      <c r="B40" s="643" t="s">
        <v>11</v>
      </c>
      <c r="C40" s="642" t="s">
        <v>112</v>
      </c>
      <c r="D40" s="643" t="s">
        <v>113</v>
      </c>
      <c r="E40" s="643" t="s">
        <v>14</v>
      </c>
      <c r="F40" s="643" t="s">
        <v>114</v>
      </c>
      <c r="G40" s="644"/>
      <c r="H40" s="644"/>
      <c r="I40" s="644"/>
      <c r="J40" s="645"/>
    </row>
    <row r="41" spans="1:10" x14ac:dyDescent="0.25">
      <c r="A41" s="642" t="s">
        <v>10</v>
      </c>
      <c r="B41" s="643" t="s">
        <v>11</v>
      </c>
      <c r="C41" s="642" t="s">
        <v>115</v>
      </c>
      <c r="D41" s="643" t="s">
        <v>116</v>
      </c>
      <c r="E41" s="643" t="s">
        <v>14</v>
      </c>
      <c r="F41" s="643" t="s">
        <v>114</v>
      </c>
      <c r="G41" s="644"/>
      <c r="H41" s="644"/>
      <c r="I41" s="644"/>
      <c r="J41" s="645"/>
    </row>
    <row r="42" spans="1:10" ht="38.25" x14ac:dyDescent="0.25">
      <c r="A42" s="642" t="s">
        <v>10</v>
      </c>
      <c r="B42" s="643" t="s">
        <v>11</v>
      </c>
      <c r="C42" s="642" t="s">
        <v>117</v>
      </c>
      <c r="D42" s="643" t="s">
        <v>118</v>
      </c>
      <c r="E42" s="643" t="s">
        <v>14</v>
      </c>
      <c r="F42" s="643" t="s">
        <v>53</v>
      </c>
      <c r="G42" s="644"/>
      <c r="H42" s="644"/>
      <c r="I42" s="644"/>
      <c r="J42" s="645" t="s">
        <v>119</v>
      </c>
    </row>
    <row r="43" spans="1:10" x14ac:dyDescent="0.25">
      <c r="A43" s="642" t="s">
        <v>10</v>
      </c>
      <c r="B43" s="643" t="s">
        <v>11</v>
      </c>
      <c r="C43" s="642" t="s">
        <v>120</v>
      </c>
      <c r="D43" s="643" t="s">
        <v>121</v>
      </c>
      <c r="E43" s="643" t="s">
        <v>14</v>
      </c>
      <c r="F43" s="643" t="s">
        <v>15</v>
      </c>
      <c r="G43" s="644"/>
      <c r="H43" s="644"/>
      <c r="I43" s="644"/>
      <c r="J43" s="645"/>
    </row>
    <row r="44" spans="1:10" x14ac:dyDescent="0.25">
      <c r="A44" s="642" t="s">
        <v>10</v>
      </c>
      <c r="B44" s="643" t="s">
        <v>11</v>
      </c>
      <c r="C44" s="642" t="s">
        <v>122</v>
      </c>
      <c r="D44" s="643" t="s">
        <v>123</v>
      </c>
      <c r="E44" s="643" t="s">
        <v>14</v>
      </c>
      <c r="F44" s="643" t="s">
        <v>15</v>
      </c>
      <c r="G44" s="644"/>
      <c r="H44" s="644"/>
      <c r="I44" s="644"/>
      <c r="J44" s="645"/>
    </row>
    <row r="45" spans="1:10" x14ac:dyDescent="0.25">
      <c r="A45" s="642" t="s">
        <v>10</v>
      </c>
      <c r="B45" s="643" t="s">
        <v>11</v>
      </c>
      <c r="C45" s="642" t="s">
        <v>124</v>
      </c>
      <c r="D45" s="643" t="s">
        <v>125</v>
      </c>
      <c r="E45" s="643" t="s">
        <v>14</v>
      </c>
      <c r="F45" s="643" t="s">
        <v>15</v>
      </c>
      <c r="G45" s="644"/>
      <c r="H45" s="644"/>
      <c r="I45" s="644"/>
      <c r="J45" s="645"/>
    </row>
    <row r="46" spans="1:10" x14ac:dyDescent="0.25">
      <c r="A46" s="642" t="s">
        <v>10</v>
      </c>
      <c r="B46" s="643" t="s">
        <v>11</v>
      </c>
      <c r="C46" s="642" t="s">
        <v>126</v>
      </c>
      <c r="D46" s="643" t="s">
        <v>127</v>
      </c>
      <c r="E46" s="643" t="s">
        <v>14</v>
      </c>
      <c r="F46" s="643" t="s">
        <v>15</v>
      </c>
      <c r="G46" s="644"/>
      <c r="H46" s="644"/>
      <c r="I46" s="644"/>
      <c r="J46" s="645" t="s">
        <v>128</v>
      </c>
    </row>
    <row r="47" spans="1:10" ht="25.5" x14ac:dyDescent="0.25">
      <c r="A47" s="642" t="s">
        <v>10</v>
      </c>
      <c r="B47" s="643" t="s">
        <v>11</v>
      </c>
      <c r="C47" s="642" t="s">
        <v>129</v>
      </c>
      <c r="D47" s="643" t="s">
        <v>130</v>
      </c>
      <c r="E47" s="643" t="s">
        <v>14</v>
      </c>
      <c r="F47" s="643" t="s">
        <v>53</v>
      </c>
      <c r="G47" s="644"/>
      <c r="H47" s="644"/>
      <c r="I47" s="644"/>
      <c r="J47" s="649" t="s">
        <v>131</v>
      </c>
    </row>
    <row r="48" spans="1:10" ht="25.5" x14ac:dyDescent="0.25">
      <c r="A48" s="642" t="s">
        <v>10</v>
      </c>
      <c r="B48" s="643" t="s">
        <v>11</v>
      </c>
      <c r="C48" s="642" t="s">
        <v>132</v>
      </c>
      <c r="D48" s="643" t="s">
        <v>133</v>
      </c>
      <c r="E48" s="643" t="s">
        <v>14</v>
      </c>
      <c r="F48" s="643" t="s">
        <v>15</v>
      </c>
      <c r="G48" s="644"/>
      <c r="H48" s="644"/>
      <c r="I48" s="644"/>
      <c r="J48" s="645" t="s">
        <v>134</v>
      </c>
    </row>
    <row r="49" spans="1:10" x14ac:dyDescent="0.25">
      <c r="A49" s="642" t="s">
        <v>10</v>
      </c>
      <c r="B49" s="643" t="s">
        <v>11</v>
      </c>
      <c r="C49" s="642" t="s">
        <v>135</v>
      </c>
      <c r="D49" s="643" t="s">
        <v>53</v>
      </c>
      <c r="E49" s="643" t="s">
        <v>14</v>
      </c>
      <c r="F49" s="643" t="s">
        <v>53</v>
      </c>
      <c r="G49" s="644"/>
      <c r="H49" s="644"/>
      <c r="I49" s="644"/>
      <c r="J49" s="645"/>
    </row>
    <row r="50" spans="1:10" x14ac:dyDescent="0.25">
      <c r="A50" s="642" t="s">
        <v>10</v>
      </c>
      <c r="B50" s="643" t="s">
        <v>11</v>
      </c>
      <c r="C50" s="642" t="s">
        <v>136</v>
      </c>
      <c r="D50" s="643" t="s">
        <v>137</v>
      </c>
      <c r="E50" s="643" t="s">
        <v>14</v>
      </c>
      <c r="F50" s="643" t="s">
        <v>138</v>
      </c>
      <c r="G50" s="644"/>
      <c r="H50" s="644"/>
      <c r="I50" s="644"/>
      <c r="J50" s="645"/>
    </row>
    <row r="51" spans="1:10" ht="25.5" x14ac:dyDescent="0.25">
      <c r="A51" s="642" t="s">
        <v>139</v>
      </c>
      <c r="B51" s="643" t="s">
        <v>140</v>
      </c>
      <c r="C51" s="642" t="s">
        <v>141</v>
      </c>
      <c r="D51" s="643"/>
      <c r="E51" s="650" t="s">
        <v>14</v>
      </c>
      <c r="F51" s="643" t="s">
        <v>142</v>
      </c>
      <c r="G51" s="644">
        <v>1</v>
      </c>
      <c r="H51" s="644" t="s">
        <v>143</v>
      </c>
      <c r="I51" s="644"/>
      <c r="J51" s="645"/>
    </row>
    <row r="52" spans="1:10" ht="25.5" x14ac:dyDescent="0.2">
      <c r="A52" s="642" t="s">
        <v>139</v>
      </c>
      <c r="B52" s="643" t="s">
        <v>140</v>
      </c>
      <c r="C52" s="642" t="s">
        <v>144</v>
      </c>
      <c r="D52" s="643" t="s">
        <v>145</v>
      </c>
      <c r="E52" s="650" t="s">
        <v>146</v>
      </c>
      <c r="F52" s="643" t="s">
        <v>142</v>
      </c>
      <c r="G52" s="644"/>
      <c r="H52" s="644"/>
      <c r="I52" s="651" t="s">
        <v>147</v>
      </c>
      <c r="J52" s="645" t="s">
        <v>44</v>
      </c>
    </row>
    <row r="53" spans="1:10" ht="38.25" x14ac:dyDescent="0.2">
      <c r="A53" s="642" t="s">
        <v>139</v>
      </c>
      <c r="B53" s="643" t="s">
        <v>140</v>
      </c>
      <c r="C53" s="642" t="s">
        <v>148</v>
      </c>
      <c r="D53" s="643" t="s">
        <v>149</v>
      </c>
      <c r="E53" s="650" t="s">
        <v>14</v>
      </c>
      <c r="F53" s="643" t="s">
        <v>150</v>
      </c>
      <c r="G53" s="644"/>
      <c r="H53" s="644"/>
      <c r="I53" s="651" t="s">
        <v>147</v>
      </c>
      <c r="J53" s="645"/>
    </row>
    <row r="54" spans="1:10" ht="25.5" x14ac:dyDescent="0.2">
      <c r="A54" s="642" t="s">
        <v>139</v>
      </c>
      <c r="B54" s="643" t="s">
        <v>140</v>
      </c>
      <c r="C54" s="642" t="s">
        <v>151</v>
      </c>
      <c r="D54" s="643" t="s">
        <v>152</v>
      </c>
      <c r="E54" s="650" t="s">
        <v>14</v>
      </c>
      <c r="F54" s="643" t="s">
        <v>153</v>
      </c>
      <c r="G54" s="644"/>
      <c r="H54" s="644"/>
      <c r="I54" s="652" t="s">
        <v>147</v>
      </c>
      <c r="J54" s="645"/>
    </row>
    <row r="55" spans="1:10" ht="25.5" x14ac:dyDescent="0.25">
      <c r="A55" s="642" t="s">
        <v>139</v>
      </c>
      <c r="B55" s="643" t="s">
        <v>154</v>
      </c>
      <c r="C55" s="642" t="s">
        <v>155</v>
      </c>
      <c r="D55" s="643"/>
      <c r="E55" s="650" t="s">
        <v>14</v>
      </c>
      <c r="F55" s="643" t="s">
        <v>156</v>
      </c>
      <c r="G55" s="644">
        <v>1</v>
      </c>
      <c r="H55" s="644" t="s">
        <v>143</v>
      </c>
      <c r="I55" s="644"/>
      <c r="J55" s="645"/>
    </row>
    <row r="56" spans="1:10" ht="25.5" x14ac:dyDescent="0.25">
      <c r="A56" s="642" t="s">
        <v>139</v>
      </c>
      <c r="B56" s="643" t="s">
        <v>154</v>
      </c>
      <c r="C56" s="642" t="s">
        <v>157</v>
      </c>
      <c r="D56" s="643" t="s">
        <v>158</v>
      </c>
      <c r="E56" s="650" t="s">
        <v>14</v>
      </c>
      <c r="F56" s="643" t="s">
        <v>159</v>
      </c>
      <c r="G56" s="644"/>
      <c r="H56" s="644"/>
      <c r="I56" s="644">
        <v>8</v>
      </c>
      <c r="J56" s="645" t="s">
        <v>44</v>
      </c>
    </row>
    <row r="57" spans="1:10" ht="25.5" x14ac:dyDescent="0.25">
      <c r="A57" s="642" t="s">
        <v>139</v>
      </c>
      <c r="B57" s="643" t="s">
        <v>160</v>
      </c>
      <c r="C57" s="642" t="s">
        <v>155</v>
      </c>
      <c r="D57" s="643"/>
      <c r="E57" s="650" t="s">
        <v>14</v>
      </c>
      <c r="F57" s="643" t="s">
        <v>161</v>
      </c>
      <c r="G57" s="644">
        <v>1</v>
      </c>
      <c r="H57" s="644"/>
      <c r="I57" s="644"/>
      <c r="J57" s="645"/>
    </row>
    <row r="58" spans="1:10" ht="25.5" x14ac:dyDescent="0.25">
      <c r="A58" s="642" t="s">
        <v>139</v>
      </c>
      <c r="B58" s="643" t="s">
        <v>160</v>
      </c>
      <c r="C58" s="642" t="s">
        <v>162</v>
      </c>
      <c r="D58" s="643" t="s">
        <v>163</v>
      </c>
      <c r="E58" s="650" t="s">
        <v>14</v>
      </c>
      <c r="F58" s="643" t="s">
        <v>164</v>
      </c>
      <c r="G58" s="644"/>
      <c r="H58" s="644"/>
      <c r="I58" s="644">
        <v>8</v>
      </c>
      <c r="J58" s="645" t="s">
        <v>44</v>
      </c>
    </row>
    <row r="59" spans="1:10" ht="25.5" x14ac:dyDescent="0.25">
      <c r="A59" s="642" t="s">
        <v>139</v>
      </c>
      <c r="B59" s="643" t="s">
        <v>165</v>
      </c>
      <c r="C59" s="642" t="s">
        <v>155</v>
      </c>
      <c r="D59" s="643"/>
      <c r="E59" s="650" t="s">
        <v>14</v>
      </c>
      <c r="F59" s="643" t="s">
        <v>166</v>
      </c>
      <c r="G59" s="644" t="s">
        <v>167</v>
      </c>
      <c r="H59" s="644">
        <v>10</v>
      </c>
      <c r="I59" s="644"/>
      <c r="J59" s="645"/>
    </row>
    <row r="60" spans="1:10" ht="76.5" x14ac:dyDescent="0.25">
      <c r="A60" s="642" t="s">
        <v>139</v>
      </c>
      <c r="B60" s="643" t="s">
        <v>165</v>
      </c>
      <c r="C60" s="642" t="s">
        <v>168</v>
      </c>
      <c r="D60" s="643" t="s">
        <v>169</v>
      </c>
      <c r="E60" s="650" t="s">
        <v>14</v>
      </c>
      <c r="F60" s="643" t="s">
        <v>166</v>
      </c>
      <c r="G60" s="644"/>
      <c r="H60" s="644"/>
      <c r="I60" s="644">
        <v>8</v>
      </c>
      <c r="J60" s="645" t="s">
        <v>170</v>
      </c>
    </row>
    <row r="61" spans="1:10" ht="38.25" x14ac:dyDescent="0.25">
      <c r="A61" s="642" t="s">
        <v>139</v>
      </c>
      <c r="B61" s="643" t="s">
        <v>165</v>
      </c>
      <c r="C61" s="642" t="s">
        <v>171</v>
      </c>
      <c r="D61" s="643" t="s">
        <v>172</v>
      </c>
      <c r="E61" s="650" t="s">
        <v>146</v>
      </c>
      <c r="F61" s="643" t="s">
        <v>166</v>
      </c>
      <c r="G61" s="644"/>
      <c r="H61" s="644"/>
      <c r="I61" s="644">
        <v>8</v>
      </c>
      <c r="J61" s="645" t="s">
        <v>173</v>
      </c>
    </row>
    <row r="62" spans="1:10" ht="38.25" x14ac:dyDescent="0.25">
      <c r="A62" s="642"/>
      <c r="B62" s="643" t="s">
        <v>174</v>
      </c>
      <c r="C62" s="642" t="s">
        <v>175</v>
      </c>
      <c r="D62" s="643"/>
      <c r="E62" s="650"/>
      <c r="F62" s="643" t="s">
        <v>176</v>
      </c>
      <c r="G62" s="644" t="s">
        <v>177</v>
      </c>
      <c r="H62" s="644">
        <v>8</v>
      </c>
      <c r="I62" s="644"/>
      <c r="J62" s="645" t="s">
        <v>44</v>
      </c>
    </row>
    <row r="63" spans="1:10" ht="25.5" x14ac:dyDescent="0.25">
      <c r="A63" s="642"/>
      <c r="B63" s="653" t="s">
        <v>174</v>
      </c>
      <c r="C63" s="654"/>
      <c r="D63" s="655" t="s">
        <v>178</v>
      </c>
      <c r="E63" s="653" t="s">
        <v>14</v>
      </c>
      <c r="F63" s="643" t="s">
        <v>179</v>
      </c>
      <c r="G63" s="644"/>
      <c r="H63" s="644"/>
      <c r="I63" s="644"/>
      <c r="J63" s="645"/>
    </row>
    <row r="64" spans="1:10" ht="38.25" x14ac:dyDescent="0.25">
      <c r="A64" s="642"/>
      <c r="B64" s="653" t="s">
        <v>180</v>
      </c>
      <c r="C64" s="642" t="s">
        <v>175</v>
      </c>
      <c r="D64" s="655"/>
      <c r="E64" s="653"/>
      <c r="F64" s="643" t="s">
        <v>181</v>
      </c>
      <c r="G64" s="644" t="s">
        <v>182</v>
      </c>
      <c r="H64" s="644" t="s">
        <v>183</v>
      </c>
      <c r="I64" s="644"/>
      <c r="J64" s="645"/>
    </row>
    <row r="65" spans="1:10" ht="25.5" x14ac:dyDescent="0.25">
      <c r="A65" s="642"/>
      <c r="B65" s="653" t="s">
        <v>180</v>
      </c>
      <c r="C65" s="654" t="s">
        <v>184</v>
      </c>
      <c r="D65" s="655" t="s">
        <v>185</v>
      </c>
      <c r="E65" s="653" t="s">
        <v>14</v>
      </c>
      <c r="F65" s="643" t="s">
        <v>186</v>
      </c>
      <c r="G65" s="644"/>
      <c r="H65" s="644"/>
      <c r="I65" s="644" t="s">
        <v>187</v>
      </c>
      <c r="J65" s="645" t="s">
        <v>188</v>
      </c>
    </row>
    <row r="66" spans="1:10" ht="25.5" x14ac:dyDescent="0.25">
      <c r="A66" s="642"/>
      <c r="B66" s="653" t="s">
        <v>180</v>
      </c>
      <c r="C66" s="654" t="s">
        <v>189</v>
      </c>
      <c r="D66" s="655" t="s">
        <v>190</v>
      </c>
      <c r="E66" s="653" t="s">
        <v>14</v>
      </c>
      <c r="F66" s="643" t="s">
        <v>186</v>
      </c>
      <c r="G66" s="644"/>
      <c r="H66" s="644"/>
      <c r="I66" s="644" t="s">
        <v>187</v>
      </c>
      <c r="J66" s="645" t="s">
        <v>191</v>
      </c>
    </row>
    <row r="67" spans="1:10" ht="38.25" x14ac:dyDescent="0.25">
      <c r="A67" s="642" t="s">
        <v>139</v>
      </c>
      <c r="B67" s="653" t="s">
        <v>192</v>
      </c>
      <c r="C67" s="642" t="s">
        <v>175</v>
      </c>
      <c r="D67" s="643"/>
      <c r="E67" s="650"/>
      <c r="F67" s="643" t="s">
        <v>193</v>
      </c>
      <c r="G67" s="644" t="s">
        <v>182</v>
      </c>
      <c r="H67" s="644" t="s">
        <v>183</v>
      </c>
      <c r="I67" s="644"/>
      <c r="J67" s="645"/>
    </row>
    <row r="68" spans="1:10" ht="25.5" x14ac:dyDescent="0.25">
      <c r="A68" s="642" t="s">
        <v>139</v>
      </c>
      <c r="B68" s="653" t="s">
        <v>192</v>
      </c>
      <c r="C68" s="654" t="s">
        <v>194</v>
      </c>
      <c r="D68" s="655" t="s">
        <v>195</v>
      </c>
      <c r="E68" s="653" t="s">
        <v>14</v>
      </c>
      <c r="F68" s="643" t="s">
        <v>196</v>
      </c>
      <c r="G68" s="644"/>
      <c r="H68" s="644"/>
      <c r="I68" s="644">
        <v>6</v>
      </c>
      <c r="J68" s="645" t="s">
        <v>197</v>
      </c>
    </row>
    <row r="69" spans="1:10" ht="25.5" x14ac:dyDescent="0.25">
      <c r="A69" s="642" t="s">
        <v>139</v>
      </c>
      <c r="B69" s="653" t="s">
        <v>192</v>
      </c>
      <c r="C69" s="654" t="s">
        <v>198</v>
      </c>
      <c r="D69" s="655" t="s">
        <v>199</v>
      </c>
      <c r="E69" s="653" t="s">
        <v>14</v>
      </c>
      <c r="F69" s="643" t="s">
        <v>196</v>
      </c>
      <c r="G69" s="644"/>
      <c r="H69" s="644"/>
      <c r="I69" s="644">
        <v>6</v>
      </c>
      <c r="J69" s="645" t="s">
        <v>200</v>
      </c>
    </row>
    <row r="70" spans="1:10" ht="25.5" x14ac:dyDescent="0.25">
      <c r="A70" s="642" t="s">
        <v>139</v>
      </c>
      <c r="B70" s="653" t="s">
        <v>192</v>
      </c>
      <c r="C70" s="654" t="s">
        <v>201</v>
      </c>
      <c r="D70" s="655" t="s">
        <v>202</v>
      </c>
      <c r="E70" s="653" t="s">
        <v>14</v>
      </c>
      <c r="F70" s="643" t="s">
        <v>196</v>
      </c>
      <c r="G70" s="644"/>
      <c r="H70" s="644"/>
      <c r="I70" s="644">
        <v>6</v>
      </c>
      <c r="J70" s="645" t="s">
        <v>200</v>
      </c>
    </row>
    <row r="71" spans="1:10" ht="38.25" x14ac:dyDescent="0.25">
      <c r="A71" s="642"/>
      <c r="B71" s="653" t="s">
        <v>203</v>
      </c>
      <c r="C71" s="642" t="s">
        <v>175</v>
      </c>
      <c r="D71" s="655"/>
      <c r="E71" s="653"/>
      <c r="F71" s="643" t="s">
        <v>204</v>
      </c>
      <c r="G71" s="644" t="s">
        <v>205</v>
      </c>
      <c r="H71" s="644">
        <v>8</v>
      </c>
      <c r="I71" s="644"/>
      <c r="J71" s="645"/>
    </row>
    <row r="72" spans="1:10" ht="63.75" x14ac:dyDescent="0.25">
      <c r="A72" s="642"/>
      <c r="B72" s="655" t="s">
        <v>203</v>
      </c>
      <c r="C72" s="654" t="s">
        <v>206</v>
      </c>
      <c r="D72" s="655" t="s">
        <v>207</v>
      </c>
      <c r="E72" s="655" t="s">
        <v>14</v>
      </c>
      <c r="F72" s="643" t="s">
        <v>204</v>
      </c>
      <c r="G72" s="644"/>
      <c r="H72" s="644"/>
      <c r="I72" s="644">
        <v>15</v>
      </c>
      <c r="J72" s="645"/>
    </row>
    <row r="73" spans="1:10" x14ac:dyDescent="0.25">
      <c r="A73" s="642"/>
      <c r="B73" s="653" t="s">
        <v>203</v>
      </c>
      <c r="C73" s="654" t="s">
        <v>208</v>
      </c>
      <c r="D73" s="655" t="s">
        <v>209</v>
      </c>
      <c r="E73" s="653" t="s">
        <v>146</v>
      </c>
      <c r="F73" s="643" t="s">
        <v>204</v>
      </c>
      <c r="G73" s="644"/>
      <c r="H73" s="644"/>
      <c r="I73" s="644">
        <v>15</v>
      </c>
      <c r="J73" s="645"/>
    </row>
    <row r="74" spans="1:10" ht="25.5" x14ac:dyDescent="0.25">
      <c r="A74" s="642"/>
      <c r="B74" s="653" t="s">
        <v>203</v>
      </c>
      <c r="C74" s="654" t="s">
        <v>210</v>
      </c>
      <c r="D74" s="655" t="s">
        <v>211</v>
      </c>
      <c r="E74" s="653" t="s">
        <v>14</v>
      </c>
      <c r="F74" s="643" t="s">
        <v>204</v>
      </c>
      <c r="G74" s="644"/>
      <c r="H74" s="644"/>
      <c r="I74" s="644">
        <v>15</v>
      </c>
      <c r="J74" s="645"/>
    </row>
    <row r="75" spans="1:10" ht="38.25" x14ac:dyDescent="0.25">
      <c r="A75" s="642"/>
      <c r="B75" s="653" t="s">
        <v>212</v>
      </c>
      <c r="C75" s="654" t="s">
        <v>175</v>
      </c>
      <c r="D75" s="655"/>
      <c r="E75" s="653"/>
      <c r="F75" s="643" t="s">
        <v>213</v>
      </c>
      <c r="G75" s="644" t="s">
        <v>143</v>
      </c>
      <c r="H75" s="644" t="s">
        <v>183</v>
      </c>
      <c r="I75" s="644"/>
      <c r="J75" s="645"/>
    </row>
    <row r="76" spans="1:10" ht="38.25" x14ac:dyDescent="0.25">
      <c r="A76" s="642"/>
      <c r="B76" s="653" t="s">
        <v>212</v>
      </c>
      <c r="C76" s="654" t="s">
        <v>214</v>
      </c>
      <c r="D76" s="655" t="s">
        <v>215</v>
      </c>
      <c r="E76" s="653" t="s">
        <v>14</v>
      </c>
      <c r="F76" s="643" t="s">
        <v>216</v>
      </c>
      <c r="G76" s="644"/>
      <c r="H76" s="644"/>
      <c r="I76" s="644" t="s">
        <v>187</v>
      </c>
      <c r="J76" s="645" t="s">
        <v>217</v>
      </c>
    </row>
    <row r="77" spans="1:10" ht="25.5" x14ac:dyDescent="0.25">
      <c r="A77" s="642"/>
      <c r="B77" s="653" t="s">
        <v>212</v>
      </c>
      <c r="C77" s="654" t="s">
        <v>218</v>
      </c>
      <c r="D77" s="655" t="s">
        <v>219</v>
      </c>
      <c r="E77" s="653" t="s">
        <v>14</v>
      </c>
      <c r="F77" s="643" t="s">
        <v>216</v>
      </c>
      <c r="G77" s="644"/>
      <c r="H77" s="644"/>
      <c r="I77" s="644" t="s">
        <v>187</v>
      </c>
      <c r="J77" s="645" t="s">
        <v>220</v>
      </c>
    </row>
    <row r="78" spans="1:10" ht="25.5" x14ac:dyDescent="0.25">
      <c r="A78" s="642"/>
      <c r="B78" s="653" t="s">
        <v>212</v>
      </c>
      <c r="C78" s="654" t="s">
        <v>218</v>
      </c>
      <c r="D78" s="655" t="s">
        <v>221</v>
      </c>
      <c r="E78" s="653" t="s">
        <v>14</v>
      </c>
      <c r="F78" s="643" t="s">
        <v>216</v>
      </c>
      <c r="G78" s="644"/>
      <c r="H78" s="644"/>
      <c r="I78" s="644" t="s">
        <v>187</v>
      </c>
      <c r="J78" s="645" t="s">
        <v>222</v>
      </c>
    </row>
    <row r="79" spans="1:10" ht="38.25" x14ac:dyDescent="0.25">
      <c r="A79" s="642"/>
      <c r="B79" s="653" t="s">
        <v>212</v>
      </c>
      <c r="C79" s="654" t="s">
        <v>223</v>
      </c>
      <c r="D79" s="655" t="s">
        <v>224</v>
      </c>
      <c r="E79" s="653" t="s">
        <v>146</v>
      </c>
      <c r="F79" s="643" t="s">
        <v>216</v>
      </c>
      <c r="G79" s="644"/>
      <c r="H79" s="644"/>
      <c r="I79" s="644" t="s">
        <v>187</v>
      </c>
      <c r="J79" s="645" t="s">
        <v>225</v>
      </c>
    </row>
    <row r="80" spans="1:10" ht="25.5" x14ac:dyDescent="0.25">
      <c r="A80" s="642"/>
      <c r="B80" s="653" t="s">
        <v>212</v>
      </c>
      <c r="C80" s="654" t="s">
        <v>226</v>
      </c>
      <c r="D80" s="655" t="s">
        <v>227</v>
      </c>
      <c r="E80" s="653" t="s">
        <v>14</v>
      </c>
      <c r="F80" s="643" t="s">
        <v>216</v>
      </c>
      <c r="G80" s="644"/>
      <c r="H80" s="644"/>
      <c r="I80" s="644" t="s">
        <v>187</v>
      </c>
      <c r="J80" s="645" t="s">
        <v>228</v>
      </c>
    </row>
    <row r="81" spans="1:10" x14ac:dyDescent="0.25">
      <c r="A81" s="642"/>
      <c r="B81" s="653" t="s">
        <v>212</v>
      </c>
      <c r="C81" s="654" t="s">
        <v>229</v>
      </c>
      <c r="D81" s="655" t="s">
        <v>230</v>
      </c>
      <c r="E81" s="653" t="s">
        <v>231</v>
      </c>
      <c r="F81" s="643" t="s">
        <v>232</v>
      </c>
      <c r="G81" s="644"/>
      <c r="H81" s="644"/>
      <c r="I81" s="644" t="s">
        <v>187</v>
      </c>
      <c r="J81" s="645"/>
    </row>
    <row r="82" spans="1:10" ht="38.25" x14ac:dyDescent="0.25">
      <c r="A82" s="642"/>
      <c r="B82" s="653" t="s">
        <v>212</v>
      </c>
      <c r="C82" s="654" t="s">
        <v>233</v>
      </c>
      <c r="D82" s="655" t="s">
        <v>234</v>
      </c>
      <c r="E82" s="653" t="s">
        <v>146</v>
      </c>
      <c r="F82" s="643" t="s">
        <v>235</v>
      </c>
      <c r="G82" s="644"/>
      <c r="H82" s="644"/>
      <c r="I82" s="644"/>
      <c r="J82" s="645" t="s">
        <v>236</v>
      </c>
    </row>
    <row r="83" spans="1:10" ht="38.25" x14ac:dyDescent="0.25">
      <c r="A83" s="642"/>
      <c r="B83" s="653" t="s">
        <v>237</v>
      </c>
      <c r="C83" s="654" t="s">
        <v>175</v>
      </c>
      <c r="D83" s="655" t="s">
        <v>238</v>
      </c>
      <c r="E83" s="653" t="s">
        <v>14</v>
      </c>
      <c r="F83" s="643" t="s">
        <v>239</v>
      </c>
      <c r="G83" s="644" t="s">
        <v>240</v>
      </c>
      <c r="H83" s="644" t="s">
        <v>183</v>
      </c>
      <c r="I83" s="695"/>
      <c r="J83" s="645"/>
    </row>
    <row r="84" spans="1:10" ht="25.5" x14ac:dyDescent="0.25">
      <c r="A84" s="642"/>
      <c r="B84" s="655" t="s">
        <v>237</v>
      </c>
      <c r="C84" s="654" t="s">
        <v>241</v>
      </c>
      <c r="D84" s="655" t="s">
        <v>242</v>
      </c>
      <c r="E84" s="655" t="s">
        <v>231</v>
      </c>
      <c r="F84" s="643" t="s">
        <v>243</v>
      </c>
      <c r="G84" s="644"/>
      <c r="H84" s="644"/>
      <c r="I84" s="644" t="s">
        <v>244</v>
      </c>
      <c r="J84" s="645" t="s">
        <v>245</v>
      </c>
    </row>
    <row r="85" spans="1:10" ht="25.5" x14ac:dyDescent="0.25">
      <c r="A85" s="642"/>
      <c r="B85" s="655" t="s">
        <v>237</v>
      </c>
      <c r="C85" s="654" t="s">
        <v>246</v>
      </c>
      <c r="D85" s="655" t="s">
        <v>247</v>
      </c>
      <c r="E85" s="655" t="s">
        <v>14</v>
      </c>
      <c r="F85" s="643" t="s">
        <v>248</v>
      </c>
      <c r="G85" s="644" t="s">
        <v>177</v>
      </c>
      <c r="H85" s="644" t="s">
        <v>183</v>
      </c>
      <c r="I85" s="644" t="s">
        <v>244</v>
      </c>
      <c r="J85" s="645" t="s">
        <v>249</v>
      </c>
    </row>
    <row r="86" spans="1:10" ht="38.25" x14ac:dyDescent="0.25">
      <c r="A86" s="642"/>
      <c r="B86" s="655" t="s">
        <v>250</v>
      </c>
      <c r="C86" s="654" t="s">
        <v>175</v>
      </c>
      <c r="D86" s="655"/>
      <c r="E86" s="655" t="s">
        <v>14</v>
      </c>
      <c r="F86" s="643"/>
      <c r="G86" s="644" t="s">
        <v>251</v>
      </c>
      <c r="H86" s="644" t="s">
        <v>183</v>
      </c>
      <c r="I86" s="644"/>
      <c r="J86" s="645"/>
    </row>
    <row r="87" spans="1:10" ht="25.5" x14ac:dyDescent="0.25">
      <c r="A87" s="642"/>
      <c r="B87" s="655" t="s">
        <v>250</v>
      </c>
      <c r="C87" s="654" t="s">
        <v>252</v>
      </c>
      <c r="D87" s="655" t="s">
        <v>253</v>
      </c>
      <c r="E87" s="655" t="s">
        <v>14</v>
      </c>
      <c r="F87" s="643" t="s">
        <v>248</v>
      </c>
      <c r="G87" s="644"/>
      <c r="H87" s="644"/>
      <c r="I87" s="644" t="s">
        <v>244</v>
      </c>
      <c r="J87" s="645" t="s">
        <v>254</v>
      </c>
    </row>
    <row r="88" spans="1:10" x14ac:dyDescent="0.25">
      <c r="A88" s="642"/>
      <c r="B88" s="643" t="s">
        <v>255</v>
      </c>
      <c r="C88" s="642" t="s">
        <v>155</v>
      </c>
      <c r="D88" s="643"/>
      <c r="E88" s="650" t="s">
        <v>14</v>
      </c>
      <c r="F88" s="643" t="s">
        <v>256</v>
      </c>
      <c r="G88" s="644" t="s">
        <v>257</v>
      </c>
      <c r="H88" s="644" t="s">
        <v>258</v>
      </c>
      <c r="I88" s="644"/>
      <c r="J88" s="645"/>
    </row>
    <row r="89" spans="1:10" ht="25.5" x14ac:dyDescent="0.25">
      <c r="A89" s="642"/>
      <c r="B89" s="643" t="s">
        <v>255</v>
      </c>
      <c r="C89" s="642" t="s">
        <v>259</v>
      </c>
      <c r="D89" s="643" t="s">
        <v>260</v>
      </c>
      <c r="E89" s="650" t="s">
        <v>146</v>
      </c>
      <c r="F89" s="643" t="s">
        <v>261</v>
      </c>
      <c r="G89" s="644"/>
      <c r="H89" s="644"/>
      <c r="I89" s="644">
        <v>8</v>
      </c>
      <c r="J89" s="645" t="s">
        <v>44</v>
      </c>
    </row>
    <row r="90" spans="1:10" ht="25.5" x14ac:dyDescent="0.25">
      <c r="A90" s="642"/>
      <c r="B90" s="643" t="s">
        <v>262</v>
      </c>
      <c r="C90" s="642" t="s">
        <v>155</v>
      </c>
      <c r="D90" s="643"/>
      <c r="E90" s="650" t="s">
        <v>14</v>
      </c>
      <c r="F90" s="643" t="s">
        <v>256</v>
      </c>
      <c r="G90" s="644">
        <v>1</v>
      </c>
      <c r="H90" s="644" t="s">
        <v>263</v>
      </c>
      <c r="I90" s="644"/>
      <c r="J90" s="645"/>
    </row>
    <row r="91" spans="1:10" ht="25.5" x14ac:dyDescent="0.25">
      <c r="A91" s="642"/>
      <c r="B91" s="643" t="s">
        <v>262</v>
      </c>
      <c r="C91" s="642" t="s">
        <v>264</v>
      </c>
      <c r="D91" s="643" t="s">
        <v>265</v>
      </c>
      <c r="E91" s="650" t="s">
        <v>14</v>
      </c>
      <c r="F91" s="643" t="s">
        <v>266</v>
      </c>
      <c r="G91" s="644"/>
      <c r="H91" s="644"/>
      <c r="I91" s="644"/>
      <c r="J91" s="645"/>
    </row>
    <row r="92" spans="1:10" ht="25.5" x14ac:dyDescent="0.25">
      <c r="A92" s="642"/>
      <c r="B92" s="643" t="s">
        <v>262</v>
      </c>
      <c r="C92" s="642" t="s">
        <v>267</v>
      </c>
      <c r="D92" s="643" t="s">
        <v>268</v>
      </c>
      <c r="E92" s="650" t="s">
        <v>14</v>
      </c>
      <c r="F92" s="643" t="s">
        <v>269</v>
      </c>
      <c r="G92" s="644"/>
      <c r="H92" s="644"/>
      <c r="I92" s="644"/>
      <c r="J92" s="645"/>
    </row>
    <row r="93" spans="1:10" ht="25.5" x14ac:dyDescent="0.25">
      <c r="A93" s="642" t="s">
        <v>139</v>
      </c>
      <c r="B93" s="643" t="s">
        <v>270</v>
      </c>
      <c r="C93" s="642" t="s">
        <v>155</v>
      </c>
      <c r="D93" s="643"/>
      <c r="E93" s="650" t="s">
        <v>14</v>
      </c>
      <c r="F93" s="643" t="s">
        <v>271</v>
      </c>
      <c r="G93" s="644" t="s">
        <v>272</v>
      </c>
      <c r="H93" s="644"/>
      <c r="I93" s="644"/>
      <c r="J93" s="645"/>
    </row>
    <row r="94" spans="1:10" ht="38.25" x14ac:dyDescent="0.25">
      <c r="A94" s="642" t="s">
        <v>139</v>
      </c>
      <c r="B94" s="643" t="s">
        <v>270</v>
      </c>
      <c r="C94" s="642" t="s">
        <v>273</v>
      </c>
      <c r="D94" s="643" t="s">
        <v>274</v>
      </c>
      <c r="E94" s="650" t="s">
        <v>14</v>
      </c>
      <c r="F94" s="643" t="s">
        <v>275</v>
      </c>
      <c r="G94" s="644"/>
      <c r="H94" s="644"/>
      <c r="I94" s="644" t="s">
        <v>276</v>
      </c>
      <c r="J94" s="656">
        <v>1</v>
      </c>
    </row>
    <row r="95" spans="1:10" ht="25.5" x14ac:dyDescent="0.25">
      <c r="A95" s="642" t="s">
        <v>139</v>
      </c>
      <c r="B95" s="643" t="s">
        <v>270</v>
      </c>
      <c r="C95" s="642" t="s">
        <v>277</v>
      </c>
      <c r="D95" s="643" t="s">
        <v>278</v>
      </c>
      <c r="E95" s="650" t="s">
        <v>146</v>
      </c>
      <c r="F95" s="643" t="s">
        <v>279</v>
      </c>
      <c r="G95" s="644"/>
      <c r="H95" s="644"/>
      <c r="I95" s="644" t="s">
        <v>276</v>
      </c>
      <c r="J95" s="645" t="s">
        <v>44</v>
      </c>
    </row>
    <row r="96" spans="1:10" ht="25.5" x14ac:dyDescent="0.25">
      <c r="A96" s="642" t="s">
        <v>139</v>
      </c>
      <c r="B96" s="643" t="s">
        <v>270</v>
      </c>
      <c r="C96" s="642" t="s">
        <v>280</v>
      </c>
      <c r="D96" s="643" t="s">
        <v>281</v>
      </c>
      <c r="E96" s="650" t="s">
        <v>146</v>
      </c>
      <c r="F96" s="643" t="s">
        <v>275</v>
      </c>
      <c r="G96" s="644"/>
      <c r="H96" s="644"/>
      <c r="I96" s="644" t="s">
        <v>276</v>
      </c>
      <c r="J96" s="645"/>
    </row>
    <row r="97" spans="1:13" x14ac:dyDescent="0.25">
      <c r="A97" s="642"/>
      <c r="B97" s="643" t="s">
        <v>282</v>
      </c>
      <c r="C97" s="642" t="s">
        <v>155</v>
      </c>
      <c r="D97" s="643"/>
      <c r="E97" s="650" t="s">
        <v>14</v>
      </c>
      <c r="F97" s="643" t="s">
        <v>283</v>
      </c>
      <c r="G97" s="644" t="s">
        <v>257</v>
      </c>
      <c r="H97" s="644" t="s">
        <v>284</v>
      </c>
      <c r="I97" s="644"/>
      <c r="J97" s="645"/>
    </row>
    <row r="98" spans="1:13" ht="51" x14ac:dyDescent="0.25">
      <c r="A98" s="642"/>
      <c r="B98" s="643" t="s">
        <v>282</v>
      </c>
      <c r="C98" s="642" t="s">
        <v>285</v>
      </c>
      <c r="D98" s="643" t="s">
        <v>286</v>
      </c>
      <c r="E98" s="650" t="s">
        <v>146</v>
      </c>
      <c r="F98" s="643" t="s">
        <v>283</v>
      </c>
      <c r="G98" s="644"/>
      <c r="H98" s="644"/>
      <c r="I98" s="644" t="s">
        <v>287</v>
      </c>
      <c r="J98" s="645" t="s">
        <v>288</v>
      </c>
    </row>
    <row r="99" spans="1:13" ht="38.25" x14ac:dyDescent="0.25">
      <c r="A99" s="642"/>
      <c r="B99" s="643" t="s">
        <v>282</v>
      </c>
      <c r="C99" s="642" t="s">
        <v>289</v>
      </c>
      <c r="D99" s="643" t="s">
        <v>290</v>
      </c>
      <c r="E99" s="650" t="s">
        <v>14</v>
      </c>
      <c r="F99" s="643" t="s">
        <v>283</v>
      </c>
      <c r="G99" s="644"/>
      <c r="H99" s="644"/>
      <c r="I99" s="644" t="s">
        <v>287</v>
      </c>
      <c r="J99" s="645"/>
    </row>
    <row r="100" spans="1:13" x14ac:dyDescent="0.25">
      <c r="A100" s="813"/>
      <c r="B100" s="816" t="s">
        <v>282</v>
      </c>
      <c r="C100" s="813" t="s">
        <v>291</v>
      </c>
      <c r="D100" s="816" t="s">
        <v>292</v>
      </c>
      <c r="E100" s="819" t="s">
        <v>14</v>
      </c>
      <c r="F100" s="816" t="s">
        <v>53</v>
      </c>
      <c r="G100" s="810"/>
      <c r="H100" s="810"/>
      <c r="I100" s="694" t="s">
        <v>287</v>
      </c>
      <c r="J100" s="646" t="s">
        <v>293</v>
      </c>
      <c r="M100" s="638"/>
    </row>
    <row r="101" spans="1:13" x14ac:dyDescent="0.25">
      <c r="A101" s="814"/>
      <c r="B101" s="817"/>
      <c r="C101" s="814"/>
      <c r="D101" s="817"/>
      <c r="E101" s="820"/>
      <c r="F101" s="817"/>
      <c r="G101" s="811"/>
      <c r="H101" s="811"/>
      <c r="I101" s="695"/>
      <c r="J101" s="648" t="s">
        <v>294</v>
      </c>
      <c r="M101" s="638"/>
    </row>
    <row r="102" spans="1:13" x14ac:dyDescent="0.25">
      <c r="A102" s="814"/>
      <c r="B102" s="817"/>
      <c r="C102" s="814"/>
      <c r="D102" s="817"/>
      <c r="E102" s="820"/>
      <c r="F102" s="817"/>
      <c r="G102" s="811"/>
      <c r="H102" s="811"/>
      <c r="I102" s="695"/>
      <c r="J102" s="648" t="s">
        <v>295</v>
      </c>
      <c r="M102" s="638"/>
    </row>
    <row r="103" spans="1:13" x14ac:dyDescent="0.25">
      <c r="A103" s="814"/>
      <c r="B103" s="817"/>
      <c r="C103" s="814"/>
      <c r="D103" s="817"/>
      <c r="E103" s="820"/>
      <c r="F103" s="817"/>
      <c r="G103" s="811"/>
      <c r="H103" s="811"/>
      <c r="I103" s="695"/>
      <c r="J103" s="648" t="s">
        <v>296</v>
      </c>
      <c r="M103" s="638"/>
    </row>
    <row r="104" spans="1:13" x14ac:dyDescent="0.25">
      <c r="A104" s="814"/>
      <c r="B104" s="817"/>
      <c r="C104" s="814"/>
      <c r="D104" s="817"/>
      <c r="E104" s="820"/>
      <c r="F104" s="817"/>
      <c r="G104" s="811"/>
      <c r="H104" s="811"/>
      <c r="I104" s="695"/>
      <c r="J104" s="648" t="s">
        <v>297</v>
      </c>
      <c r="M104" s="638"/>
    </row>
    <row r="105" spans="1:13" ht="15" customHeight="1" x14ac:dyDescent="0.25">
      <c r="A105" s="814"/>
      <c r="B105" s="817"/>
      <c r="C105" s="814"/>
      <c r="D105" s="817"/>
      <c r="E105" s="820"/>
      <c r="F105" s="817"/>
      <c r="G105" s="811"/>
      <c r="H105" s="811"/>
      <c r="I105" s="695"/>
      <c r="J105" s="648" t="s">
        <v>298</v>
      </c>
      <c r="M105" s="638"/>
    </row>
    <row r="106" spans="1:13" x14ac:dyDescent="0.25">
      <c r="A106" s="815"/>
      <c r="B106" s="818"/>
      <c r="C106" s="815"/>
      <c r="D106" s="818"/>
      <c r="E106" s="821"/>
      <c r="F106" s="818"/>
      <c r="G106" s="812"/>
      <c r="H106" s="812"/>
      <c r="I106" s="696"/>
      <c r="J106" s="641" t="s">
        <v>299</v>
      </c>
    </row>
    <row r="107" spans="1:13" ht="25.5" x14ac:dyDescent="0.25">
      <c r="A107" s="642"/>
      <c r="B107" s="643" t="s">
        <v>300</v>
      </c>
      <c r="C107" s="642" t="s">
        <v>155</v>
      </c>
      <c r="D107" s="643"/>
      <c r="E107" s="650"/>
      <c r="F107" s="643" t="s">
        <v>301</v>
      </c>
      <c r="G107" s="644">
        <v>3</v>
      </c>
      <c r="H107" s="644" t="s">
        <v>302</v>
      </c>
      <c r="I107" s="644"/>
      <c r="J107" s="645"/>
    </row>
    <row r="108" spans="1:13" ht="25.5" x14ac:dyDescent="0.25">
      <c r="A108" s="642"/>
      <c r="B108" s="643" t="s">
        <v>300</v>
      </c>
      <c r="C108" s="642" t="s">
        <v>303</v>
      </c>
      <c r="D108" s="643" t="s">
        <v>304</v>
      </c>
      <c r="E108" s="650" t="s">
        <v>146</v>
      </c>
      <c r="F108" s="643" t="s">
        <v>86</v>
      </c>
      <c r="G108" s="644"/>
      <c r="H108" s="644"/>
      <c r="I108" s="644"/>
      <c r="J108" s="645"/>
    </row>
    <row r="109" spans="1:13" s="639" customFormat="1" ht="38.25" x14ac:dyDescent="0.25">
      <c r="A109" s="642"/>
      <c r="B109" s="643" t="s">
        <v>305</v>
      </c>
      <c r="C109" s="642" t="s">
        <v>155</v>
      </c>
      <c r="D109" s="643"/>
      <c r="E109" s="650"/>
      <c r="F109" s="643" t="s">
        <v>102</v>
      </c>
      <c r="G109" s="644" t="s">
        <v>306</v>
      </c>
      <c r="H109" s="644" t="s">
        <v>307</v>
      </c>
      <c r="I109" s="644"/>
      <c r="J109" s="645"/>
    </row>
    <row r="110" spans="1:13" ht="51" x14ac:dyDescent="0.25">
      <c r="A110" s="642"/>
      <c r="B110" s="643" t="s">
        <v>305</v>
      </c>
      <c r="C110" s="642" t="s">
        <v>308</v>
      </c>
      <c r="D110" s="643" t="s">
        <v>309</v>
      </c>
      <c r="E110" s="650" t="s">
        <v>146</v>
      </c>
      <c r="F110" s="643" t="s">
        <v>310</v>
      </c>
      <c r="G110" s="644"/>
      <c r="H110" s="644"/>
      <c r="I110" s="644"/>
      <c r="J110" s="645" t="s">
        <v>311</v>
      </c>
    </row>
    <row r="111" spans="1:13" x14ac:dyDescent="0.25">
      <c r="A111" s="642"/>
      <c r="B111" s="643" t="s">
        <v>312</v>
      </c>
      <c r="C111" s="642" t="s">
        <v>155</v>
      </c>
      <c r="D111" s="643"/>
      <c r="E111" s="650"/>
      <c r="F111" s="643" t="s">
        <v>310</v>
      </c>
      <c r="G111" s="644" t="s">
        <v>306</v>
      </c>
      <c r="H111" s="644" t="s">
        <v>313</v>
      </c>
      <c r="I111" s="644"/>
      <c r="J111" s="645"/>
    </row>
    <row r="112" spans="1:13" ht="38.25" x14ac:dyDescent="0.25">
      <c r="A112" s="642"/>
      <c r="B112" s="643" t="s">
        <v>312</v>
      </c>
      <c r="C112" s="642" t="s">
        <v>314</v>
      </c>
      <c r="D112" s="643" t="s">
        <v>315</v>
      </c>
      <c r="E112" s="650" t="s">
        <v>146</v>
      </c>
      <c r="F112" s="643" t="s">
        <v>310</v>
      </c>
      <c r="G112" s="644"/>
      <c r="H112" s="644"/>
      <c r="I112" s="644"/>
      <c r="J112" s="645" t="s">
        <v>316</v>
      </c>
    </row>
    <row r="113" spans="1:10" ht="25.5" x14ac:dyDescent="0.25">
      <c r="A113" s="642"/>
      <c r="B113" s="643" t="s">
        <v>317</v>
      </c>
      <c r="C113" s="642" t="s">
        <v>155</v>
      </c>
      <c r="D113" s="643"/>
      <c r="E113" s="650"/>
      <c r="F113" s="643" t="s">
        <v>310</v>
      </c>
      <c r="G113" s="644" t="s">
        <v>306</v>
      </c>
      <c r="H113" s="644" t="s">
        <v>318</v>
      </c>
      <c r="I113" s="644"/>
      <c r="J113" s="645"/>
    </row>
    <row r="114" spans="1:10" ht="38.25" x14ac:dyDescent="0.25">
      <c r="A114" s="642"/>
      <c r="B114" s="643" t="s">
        <v>317</v>
      </c>
      <c r="C114" s="642" t="s">
        <v>319</v>
      </c>
      <c r="D114" s="643" t="s">
        <v>320</v>
      </c>
      <c r="E114" s="650" t="s">
        <v>146</v>
      </c>
      <c r="F114" s="643" t="s">
        <v>310</v>
      </c>
      <c r="G114" s="644"/>
      <c r="H114" s="644"/>
      <c r="I114" s="644"/>
      <c r="J114" s="645" t="s">
        <v>316</v>
      </c>
    </row>
    <row r="115" spans="1:10" x14ac:dyDescent="0.25">
      <c r="A115" s="642"/>
      <c r="B115" s="643" t="s">
        <v>321</v>
      </c>
      <c r="C115" s="642" t="s">
        <v>155</v>
      </c>
      <c r="D115" s="643"/>
      <c r="E115" s="650"/>
      <c r="F115" s="643" t="s">
        <v>322</v>
      </c>
      <c r="G115" s="644" t="s">
        <v>306</v>
      </c>
      <c r="H115" s="644" t="s">
        <v>323</v>
      </c>
      <c r="I115" s="644"/>
      <c r="J115" s="645"/>
    </row>
    <row r="116" spans="1:10" ht="38.25" x14ac:dyDescent="0.25">
      <c r="A116" s="642"/>
      <c r="B116" s="643" t="s">
        <v>321</v>
      </c>
      <c r="C116" s="642" t="s">
        <v>324</v>
      </c>
      <c r="D116" s="643" t="s">
        <v>325</v>
      </c>
      <c r="E116" s="650" t="s">
        <v>14</v>
      </c>
      <c r="F116" s="643" t="s">
        <v>322</v>
      </c>
      <c r="G116" s="644"/>
      <c r="H116" s="644"/>
      <c r="I116" s="644"/>
      <c r="J116" s="645" t="s">
        <v>326</v>
      </c>
    </row>
    <row r="117" spans="1:10" ht="25.5" x14ac:dyDescent="0.25">
      <c r="A117" s="642"/>
      <c r="B117" s="643" t="s">
        <v>327</v>
      </c>
      <c r="C117" s="642" t="s">
        <v>155</v>
      </c>
      <c r="D117" s="643"/>
      <c r="E117" s="650"/>
      <c r="F117" s="643" t="s">
        <v>328</v>
      </c>
      <c r="G117" s="644" t="s">
        <v>329</v>
      </c>
      <c r="H117" s="644" t="s">
        <v>323</v>
      </c>
      <c r="I117" s="644"/>
      <c r="J117" s="645"/>
    </row>
    <row r="118" spans="1:10" ht="25.5" x14ac:dyDescent="0.25">
      <c r="A118" s="642"/>
      <c r="B118" s="643" t="s">
        <v>327</v>
      </c>
      <c r="C118" s="642" t="s">
        <v>330</v>
      </c>
      <c r="D118" s="643" t="s">
        <v>331</v>
      </c>
      <c r="E118" s="650" t="s">
        <v>14</v>
      </c>
      <c r="F118" s="643" t="s">
        <v>328</v>
      </c>
      <c r="G118" s="644"/>
      <c r="H118" s="644"/>
      <c r="I118" s="644"/>
      <c r="J118" s="645" t="s">
        <v>332</v>
      </c>
    </row>
    <row r="119" spans="1:10" ht="25.5" x14ac:dyDescent="0.25">
      <c r="A119" s="642"/>
      <c r="B119" s="643" t="s">
        <v>333</v>
      </c>
      <c r="C119" s="642" t="s">
        <v>155</v>
      </c>
      <c r="D119" s="643"/>
      <c r="E119" s="650"/>
      <c r="F119" s="643" t="s">
        <v>310</v>
      </c>
      <c r="G119" s="644" t="s">
        <v>323</v>
      </c>
      <c r="H119" s="644" t="s">
        <v>334</v>
      </c>
      <c r="I119" s="644"/>
      <c r="J119" s="645"/>
    </row>
    <row r="120" spans="1:10" ht="76.5" x14ac:dyDescent="0.25">
      <c r="A120" s="642"/>
      <c r="B120" s="643" t="s">
        <v>333</v>
      </c>
      <c r="C120" s="642" t="s">
        <v>335</v>
      </c>
      <c r="D120" s="643" t="s">
        <v>336</v>
      </c>
      <c r="E120" s="650" t="s">
        <v>14</v>
      </c>
      <c r="F120" s="643" t="s">
        <v>310</v>
      </c>
      <c r="G120" s="644"/>
      <c r="H120" s="644"/>
      <c r="I120" s="644"/>
      <c r="J120" s="645" t="s">
        <v>337</v>
      </c>
    </row>
    <row r="121" spans="1:10" ht="51" x14ac:dyDescent="0.25">
      <c r="A121" s="642"/>
      <c r="B121" s="643" t="s">
        <v>333</v>
      </c>
      <c r="C121" s="642" t="s">
        <v>338</v>
      </c>
      <c r="D121" s="643" t="s">
        <v>339</v>
      </c>
      <c r="E121" s="650" t="s">
        <v>14</v>
      </c>
      <c r="F121" s="643" t="s">
        <v>310</v>
      </c>
      <c r="G121" s="644"/>
      <c r="H121" s="644"/>
      <c r="I121" s="644" t="s">
        <v>287</v>
      </c>
      <c r="J121" s="645" t="s">
        <v>340</v>
      </c>
    </row>
    <row r="122" spans="1:10" ht="25.5" x14ac:dyDescent="0.25">
      <c r="A122" s="642" t="s">
        <v>139</v>
      </c>
      <c r="B122" s="643" t="s">
        <v>341</v>
      </c>
      <c r="C122" s="642" t="s">
        <v>155</v>
      </c>
      <c r="D122" s="643"/>
      <c r="E122" s="650"/>
      <c r="F122" s="643" t="s">
        <v>342</v>
      </c>
      <c r="G122" s="644" t="s">
        <v>343</v>
      </c>
      <c r="H122" s="644"/>
      <c r="I122" s="644"/>
      <c r="J122" s="645"/>
    </row>
    <row r="123" spans="1:10" ht="38.25" x14ac:dyDescent="0.25">
      <c r="A123" s="642" t="s">
        <v>139</v>
      </c>
      <c r="B123" s="643" t="s">
        <v>341</v>
      </c>
      <c r="C123" s="642" t="s">
        <v>344</v>
      </c>
      <c r="D123" s="643" t="s">
        <v>345</v>
      </c>
      <c r="E123" s="650" t="s">
        <v>146</v>
      </c>
      <c r="F123" s="643" t="s">
        <v>342</v>
      </c>
      <c r="G123" s="644"/>
      <c r="H123" s="644"/>
      <c r="I123" s="644" t="s">
        <v>346</v>
      </c>
      <c r="J123" s="645"/>
    </row>
    <row r="124" spans="1:10" ht="38.25" x14ac:dyDescent="0.25">
      <c r="A124" s="642" t="s">
        <v>139</v>
      </c>
      <c r="B124" s="643" t="s">
        <v>341</v>
      </c>
      <c r="C124" s="642" t="s">
        <v>347</v>
      </c>
      <c r="D124" s="643" t="s">
        <v>348</v>
      </c>
      <c r="E124" s="650" t="s">
        <v>14</v>
      </c>
      <c r="F124" s="643" t="s">
        <v>342</v>
      </c>
      <c r="G124" s="644"/>
      <c r="H124" s="644"/>
      <c r="I124" s="644"/>
      <c r="J124" s="645"/>
    </row>
    <row r="125" spans="1:10" ht="25.5" x14ac:dyDescent="0.25">
      <c r="A125" s="642"/>
      <c r="B125" s="643" t="s">
        <v>349</v>
      </c>
      <c r="C125" s="642" t="s">
        <v>155</v>
      </c>
      <c r="D125" s="643"/>
      <c r="E125" s="643" t="s">
        <v>14</v>
      </c>
      <c r="F125" s="643" t="s">
        <v>350</v>
      </c>
      <c r="G125" s="644" t="s">
        <v>323</v>
      </c>
      <c r="H125" s="644" t="s">
        <v>351</v>
      </c>
      <c r="I125" s="644"/>
      <c r="J125" s="645"/>
    </row>
    <row r="126" spans="1:10" ht="25.5" x14ac:dyDescent="0.25">
      <c r="A126" s="642"/>
      <c r="B126" s="643" t="s">
        <v>349</v>
      </c>
      <c r="C126" s="642" t="s">
        <v>352</v>
      </c>
      <c r="D126" s="643" t="s">
        <v>353</v>
      </c>
      <c r="E126" s="643" t="s">
        <v>14</v>
      </c>
      <c r="F126" s="643" t="s">
        <v>350</v>
      </c>
      <c r="G126" s="644"/>
      <c r="H126" s="644"/>
      <c r="I126" s="644">
        <v>8</v>
      </c>
      <c r="J126" s="656">
        <v>1</v>
      </c>
    </row>
    <row r="127" spans="1:10" ht="25.5" x14ac:dyDescent="0.25">
      <c r="A127" s="642" t="s">
        <v>139</v>
      </c>
      <c r="B127" s="643" t="s">
        <v>354</v>
      </c>
      <c r="C127" s="642" t="s">
        <v>155</v>
      </c>
      <c r="D127" s="643"/>
      <c r="E127" s="650" t="s">
        <v>14</v>
      </c>
      <c r="F127" s="643" t="s">
        <v>355</v>
      </c>
      <c r="G127" s="644">
        <v>10</v>
      </c>
      <c r="H127" s="644"/>
      <c r="I127" s="644"/>
      <c r="J127" s="656"/>
    </row>
    <row r="128" spans="1:10" ht="25.5" x14ac:dyDescent="0.25">
      <c r="A128" s="642" t="s">
        <v>139</v>
      </c>
      <c r="B128" s="643" t="s">
        <v>354</v>
      </c>
      <c r="C128" s="642" t="s">
        <v>356</v>
      </c>
      <c r="D128" s="643" t="s">
        <v>357</v>
      </c>
      <c r="E128" s="650" t="s">
        <v>14</v>
      </c>
      <c r="F128" s="643" t="s">
        <v>355</v>
      </c>
      <c r="G128" s="644">
        <v>1</v>
      </c>
      <c r="H128" s="644">
        <v>10</v>
      </c>
      <c r="I128" s="644"/>
      <c r="J128" s="645" t="s">
        <v>358</v>
      </c>
    </row>
    <row r="129" spans="1:10" ht="25.5" x14ac:dyDescent="0.25">
      <c r="A129" s="642"/>
      <c r="B129" s="643" t="s">
        <v>359</v>
      </c>
      <c r="C129" s="642" t="s">
        <v>155</v>
      </c>
      <c r="D129" s="643"/>
      <c r="E129" s="643" t="s">
        <v>14</v>
      </c>
      <c r="F129" s="643" t="s">
        <v>64</v>
      </c>
      <c r="G129" s="644">
        <v>9</v>
      </c>
      <c r="H129" s="644"/>
      <c r="I129" s="644"/>
      <c r="J129" s="645"/>
    </row>
    <row r="130" spans="1:10" ht="38.25" x14ac:dyDescent="0.25">
      <c r="A130" s="642"/>
      <c r="B130" s="643" t="s">
        <v>359</v>
      </c>
      <c r="C130" s="642" t="s">
        <v>360</v>
      </c>
      <c r="D130" s="643" t="s">
        <v>361</v>
      </c>
      <c r="E130" s="650" t="s">
        <v>14</v>
      </c>
      <c r="F130" s="643" t="s">
        <v>362</v>
      </c>
      <c r="G130" s="644"/>
      <c r="H130" s="644"/>
      <c r="I130" s="644"/>
      <c r="J130" s="645"/>
    </row>
    <row r="131" spans="1:10" ht="25.5" x14ac:dyDescent="0.25">
      <c r="A131" s="642"/>
      <c r="B131" s="643" t="s">
        <v>363</v>
      </c>
      <c r="C131" s="642" t="s">
        <v>155</v>
      </c>
      <c r="D131" s="643"/>
      <c r="E131" s="650"/>
      <c r="F131" s="643" t="s">
        <v>364</v>
      </c>
      <c r="G131" s="644"/>
      <c r="H131" s="644"/>
      <c r="I131" s="644"/>
      <c r="J131" s="645"/>
    </row>
    <row r="132" spans="1:10" ht="25.5" x14ac:dyDescent="0.25">
      <c r="A132" s="642"/>
      <c r="B132" s="643" t="s">
        <v>363</v>
      </c>
      <c r="C132" s="642" t="s">
        <v>365</v>
      </c>
      <c r="D132" s="643" t="s">
        <v>366</v>
      </c>
      <c r="E132" s="650" t="s">
        <v>14</v>
      </c>
      <c r="F132" s="643" t="s">
        <v>364</v>
      </c>
      <c r="G132" s="644"/>
      <c r="H132" s="644"/>
      <c r="I132" s="644"/>
      <c r="J132" s="645"/>
    </row>
    <row r="133" spans="1:10" ht="25.5" x14ac:dyDescent="0.25">
      <c r="A133" s="642"/>
      <c r="B133" s="643" t="s">
        <v>367</v>
      </c>
      <c r="C133" s="642" t="s">
        <v>155</v>
      </c>
      <c r="D133" s="643"/>
      <c r="E133" s="650"/>
      <c r="F133" s="643" t="s">
        <v>368</v>
      </c>
      <c r="G133" s="644"/>
      <c r="H133" s="644"/>
      <c r="I133" s="644"/>
      <c r="J133" s="645"/>
    </row>
    <row r="134" spans="1:10" ht="25.5" x14ac:dyDescent="0.25">
      <c r="A134" s="642"/>
      <c r="B134" s="643" t="s">
        <v>367</v>
      </c>
      <c r="C134" s="642" t="s">
        <v>369</v>
      </c>
      <c r="D134" s="643" t="s">
        <v>367</v>
      </c>
      <c r="E134" s="650" t="s">
        <v>14</v>
      </c>
      <c r="F134" s="643" t="s">
        <v>368</v>
      </c>
      <c r="G134" s="644"/>
      <c r="H134" s="644"/>
      <c r="I134" s="644"/>
      <c r="J134" s="645"/>
    </row>
    <row r="135" spans="1:10" ht="38.25" x14ac:dyDescent="0.25">
      <c r="A135" s="642"/>
      <c r="B135" s="653" t="s">
        <v>370</v>
      </c>
      <c r="C135" s="654" t="s">
        <v>175</v>
      </c>
      <c r="D135" s="655"/>
      <c r="E135" s="653"/>
      <c r="F135" s="643" t="s">
        <v>371</v>
      </c>
      <c r="G135" s="644"/>
      <c r="H135" s="644" t="s">
        <v>183</v>
      </c>
      <c r="I135" s="644"/>
      <c r="J135" s="645"/>
    </row>
    <row r="136" spans="1:10" x14ac:dyDescent="0.25">
      <c r="A136" s="642"/>
      <c r="B136" s="653" t="s">
        <v>370</v>
      </c>
      <c r="C136" s="654" t="s">
        <v>210</v>
      </c>
      <c r="D136" s="655" t="s">
        <v>372</v>
      </c>
      <c r="E136" s="653" t="s">
        <v>14</v>
      </c>
      <c r="F136" s="643" t="s">
        <v>371</v>
      </c>
      <c r="G136" s="644"/>
      <c r="H136" s="644"/>
      <c r="I136" s="644" t="s">
        <v>373</v>
      </c>
      <c r="J136" s="645"/>
    </row>
  </sheetData>
  <sheetProtection algorithmName="SHA-512" hashValue="7Bh2vO05xY+bCTrS4jtfl2UKM7NuGXodbVHWROsyx45ivlqpQxpXQjTCsgp3w3lwBs+PzwgyyEqXOC02STzQ0g==" saltValue="Ppe1p8cFrdEaXnWtFxsEWg==" spinCount="100000" sheet="1" objects="1" scenarios="1"/>
  <mergeCells count="16">
    <mergeCell ref="G8:G12"/>
    <mergeCell ref="H8:H12"/>
    <mergeCell ref="A100:A106"/>
    <mergeCell ref="B100:B106"/>
    <mergeCell ref="C100:C106"/>
    <mergeCell ref="D100:D106"/>
    <mergeCell ref="E100:E106"/>
    <mergeCell ref="F100:F106"/>
    <mergeCell ref="G100:G106"/>
    <mergeCell ref="H100:H106"/>
    <mergeCell ref="A8:A12"/>
    <mergeCell ref="B8:B12"/>
    <mergeCell ref="C8:C12"/>
    <mergeCell ref="D8:D12"/>
    <mergeCell ref="E8:E12"/>
    <mergeCell ref="F8:F12"/>
  </mergeCells>
  <hyperlinks>
    <hyperlink ref="J47" r:id="rId1" xr:uid="{3A8C47B5-043F-421B-BBD0-46A21776637C}"/>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93852-2D1E-4B27-B58A-FDFA9A0FCEC7}">
  <dimension ref="A1:E39"/>
  <sheetViews>
    <sheetView showGridLines="0" zoomScaleNormal="100" workbookViewId="0"/>
  </sheetViews>
  <sheetFormatPr defaultColWidth="9.140625" defaultRowHeight="12" x14ac:dyDescent="0.2"/>
  <cols>
    <col min="1" max="1" width="25.85546875" style="355" customWidth="1"/>
    <col min="2" max="5" width="16.42578125" style="344" customWidth="1"/>
    <col min="6" max="16384" width="9.140625" style="344"/>
  </cols>
  <sheetData>
    <row r="1" spans="1:5" x14ac:dyDescent="0.2">
      <c r="A1" s="350"/>
      <c r="B1" s="871" t="s">
        <v>609</v>
      </c>
      <c r="C1" s="872"/>
      <c r="D1" s="872"/>
      <c r="E1" s="873"/>
    </row>
    <row r="2" spans="1:5" s="346" customFormat="1" ht="24" customHeight="1" x14ac:dyDescent="0.2">
      <c r="A2" s="343" t="s">
        <v>233</v>
      </c>
      <c r="B2" s="371" t="s">
        <v>610</v>
      </c>
      <c r="C2" s="382" t="s">
        <v>611</v>
      </c>
      <c r="D2" s="382" t="s">
        <v>612</v>
      </c>
      <c r="E2" s="359" t="s">
        <v>613</v>
      </c>
    </row>
    <row r="3" spans="1:5" x14ac:dyDescent="0.2">
      <c r="A3" s="351"/>
      <c r="B3" s="372" t="s">
        <v>588</v>
      </c>
      <c r="C3" s="383" t="s">
        <v>588</v>
      </c>
      <c r="D3" s="383" t="s">
        <v>588</v>
      </c>
      <c r="E3" s="360" t="s">
        <v>588</v>
      </c>
    </row>
    <row r="4" spans="1:5" x14ac:dyDescent="0.2">
      <c r="A4" s="356" t="s">
        <v>417</v>
      </c>
      <c r="B4" s="373">
        <f>B5+B29</f>
        <v>0.19885830355178319</v>
      </c>
      <c r="C4" s="384">
        <f>C5+C29</f>
        <v>17559.572642436666</v>
      </c>
      <c r="D4" s="384">
        <f>D5+D29</f>
        <v>1637.6645162095001</v>
      </c>
      <c r="E4" s="361">
        <f>E5+E29</f>
        <v>1171.7377893654664</v>
      </c>
    </row>
    <row r="5" spans="1:5" x14ac:dyDescent="0.2">
      <c r="A5" s="357" t="s">
        <v>418</v>
      </c>
      <c r="B5" s="374">
        <f>B6+B8+B10+B12+B14+B17+B19+B25+B27</f>
        <v>0.19885830355178319</v>
      </c>
      <c r="C5" s="385">
        <f>C6+C8+C10+C12+C14+C17+C19+C25+C27</f>
        <v>17559.572642436666</v>
      </c>
      <c r="D5" s="385">
        <f>D6+D8+D10+D12+D14+D17+D19+D25+D27</f>
        <v>1637.6645162095001</v>
      </c>
      <c r="E5" s="362">
        <f>E6+E8+E10+E12+E14+E17+E19+E25+E27</f>
        <v>1171.7377893654664</v>
      </c>
    </row>
    <row r="6" spans="1:5" x14ac:dyDescent="0.2">
      <c r="A6" s="352" t="s">
        <v>419</v>
      </c>
      <c r="B6" s="375">
        <v>3.4899999999999992E-3</v>
      </c>
      <c r="C6" s="386">
        <v>1344.6899999999985</v>
      </c>
      <c r="D6" s="386"/>
      <c r="E6" s="363">
        <v>55.409999999999954</v>
      </c>
    </row>
    <row r="7" spans="1:5" x14ac:dyDescent="0.2">
      <c r="A7" s="351" t="s">
        <v>420</v>
      </c>
      <c r="B7" s="376">
        <v>3.4899999999999992E-3</v>
      </c>
      <c r="C7" s="387">
        <v>1344.6899999999985</v>
      </c>
      <c r="D7" s="387"/>
      <c r="E7" s="364">
        <v>55.409999999999954</v>
      </c>
    </row>
    <row r="8" spans="1:5" x14ac:dyDescent="0.2">
      <c r="A8" s="353" t="s">
        <v>428</v>
      </c>
      <c r="B8" s="377">
        <f>SUM(B9:B9)</f>
        <v>0</v>
      </c>
      <c r="C8" s="388">
        <f>SUM(C9:C9)</f>
        <v>36</v>
      </c>
      <c r="D8" s="388">
        <f>SUM(D9:D9)</f>
        <v>32</v>
      </c>
      <c r="E8" s="365">
        <f>SUM(E9:E9)</f>
        <v>0</v>
      </c>
    </row>
    <row r="9" spans="1:5" x14ac:dyDescent="0.2">
      <c r="A9" s="351" t="s">
        <v>429</v>
      </c>
      <c r="B9" s="376"/>
      <c r="C9" s="387">
        <v>36</v>
      </c>
      <c r="D9" s="387">
        <v>32</v>
      </c>
      <c r="E9" s="364"/>
    </row>
    <row r="10" spans="1:5" x14ac:dyDescent="0.2">
      <c r="A10" s="352" t="s">
        <v>423</v>
      </c>
      <c r="B10" s="377">
        <f>SUM(B11:B11)</f>
        <v>0</v>
      </c>
      <c r="C10" s="388">
        <f>SUM(C11:C11)</f>
        <v>0</v>
      </c>
      <c r="D10" s="388">
        <f>SUM(D11:D11)</f>
        <v>0</v>
      </c>
      <c r="E10" s="365">
        <f>SUM(E11:E11)</f>
        <v>0</v>
      </c>
    </row>
    <row r="11" spans="1:5" x14ac:dyDescent="0.2">
      <c r="A11" s="351" t="s">
        <v>424</v>
      </c>
      <c r="B11" s="376"/>
      <c r="C11" s="387"/>
      <c r="D11" s="387"/>
      <c r="E11" s="364"/>
    </row>
    <row r="12" spans="1:5" x14ac:dyDescent="0.2">
      <c r="A12" s="352" t="s">
        <v>589</v>
      </c>
      <c r="B12" s="377">
        <f t="shared" ref="B12:E12" si="0">SUM(B13)</f>
        <v>3.4709999999999991E-2</v>
      </c>
      <c r="C12" s="388">
        <f t="shared" si="0"/>
        <v>47.106849999999916</v>
      </c>
      <c r="D12" s="388">
        <f t="shared" si="0"/>
        <v>113.27825000000001</v>
      </c>
      <c r="E12" s="365">
        <f t="shared" si="0"/>
        <v>102.32882999999984</v>
      </c>
    </row>
    <row r="13" spans="1:5" x14ac:dyDescent="0.2">
      <c r="A13" s="351" t="s">
        <v>441</v>
      </c>
      <c r="B13" s="376">
        <v>3.4709999999999991E-2</v>
      </c>
      <c r="C13" s="387">
        <v>47.106849999999916</v>
      </c>
      <c r="D13" s="387">
        <v>113.27825000000001</v>
      </c>
      <c r="E13" s="364">
        <v>102.32882999999984</v>
      </c>
    </row>
    <row r="14" spans="1:5" x14ac:dyDescent="0.2">
      <c r="A14" s="352" t="s">
        <v>614</v>
      </c>
      <c r="B14" s="377">
        <f>SUM(B15:B16)</f>
        <v>4.15571E-3</v>
      </c>
      <c r="C14" s="388">
        <f>SUM(C15:C16)</f>
        <v>0.81019999999999837</v>
      </c>
      <c r="D14" s="388">
        <f>SUM(D15:D16)</f>
        <v>0.77526999999999813</v>
      </c>
      <c r="E14" s="365">
        <f>SUM(E15:E16)</f>
        <v>0.15999999999999981</v>
      </c>
    </row>
    <row r="15" spans="1:5" x14ac:dyDescent="0.2">
      <c r="A15" s="351" t="s">
        <v>443</v>
      </c>
      <c r="B15" s="376">
        <v>4.1539999999999997E-3</v>
      </c>
      <c r="C15" s="387">
        <v>0.69019999999999848</v>
      </c>
      <c r="D15" s="387">
        <v>0.65526999999999824</v>
      </c>
      <c r="E15" s="364"/>
    </row>
    <row r="16" spans="1:5" x14ac:dyDescent="0.2">
      <c r="A16" s="351" t="s">
        <v>444</v>
      </c>
      <c r="B16" s="376">
        <v>1.7100000000000001E-6</v>
      </c>
      <c r="C16" s="387">
        <v>0.11999999999999987</v>
      </c>
      <c r="D16" s="387">
        <v>0.11999999999999987</v>
      </c>
      <c r="E16" s="364">
        <v>0.15999999999999981</v>
      </c>
    </row>
    <row r="17" spans="1:5" x14ac:dyDescent="0.2">
      <c r="A17" s="352" t="s">
        <v>615</v>
      </c>
      <c r="B17" s="377">
        <f t="shared" ref="B17:E17" si="1">B18</f>
        <v>0</v>
      </c>
      <c r="C17" s="388">
        <f t="shared" si="1"/>
        <v>13942.8</v>
      </c>
      <c r="D17" s="388">
        <f t="shared" si="1"/>
        <v>980</v>
      </c>
      <c r="E17" s="365">
        <f t="shared" si="1"/>
        <v>917</v>
      </c>
    </row>
    <row r="18" spans="1:5" x14ac:dyDescent="0.2">
      <c r="A18" s="351" t="s">
        <v>447</v>
      </c>
      <c r="B18" s="376">
        <v>0</v>
      </c>
      <c r="C18" s="389">
        <v>13942.8</v>
      </c>
      <c r="D18" s="389">
        <v>980</v>
      </c>
      <c r="E18" s="366">
        <v>917</v>
      </c>
    </row>
    <row r="19" spans="1:5" x14ac:dyDescent="0.2">
      <c r="A19" s="352" t="s">
        <v>616</v>
      </c>
      <c r="B19" s="377">
        <f>SUM(B20:B24)</f>
        <v>0.11596927179999986</v>
      </c>
      <c r="C19" s="388">
        <f>SUM(C20:C24)</f>
        <v>152.34538798400013</v>
      </c>
      <c r="D19" s="388">
        <f>SUM(D20:D24)</f>
        <v>306.74329302000012</v>
      </c>
      <c r="E19" s="365">
        <f>SUM(E20:E24)</f>
        <v>76.567050209799859</v>
      </c>
    </row>
    <row r="20" spans="1:5" x14ac:dyDescent="0.2">
      <c r="A20" s="351" t="s">
        <v>478</v>
      </c>
      <c r="B20" s="376">
        <v>2.3405349999999999E-3</v>
      </c>
      <c r="C20" s="387">
        <v>4.9858832639999999</v>
      </c>
      <c r="D20" s="387">
        <v>25.120832140000001</v>
      </c>
      <c r="E20" s="364">
        <v>0.203209261</v>
      </c>
    </row>
    <row r="21" spans="1:5" x14ac:dyDescent="0.2">
      <c r="A21" s="351" t="s">
        <v>480</v>
      </c>
      <c r="B21" s="376">
        <v>0.11327999999999985</v>
      </c>
      <c r="C21" s="387">
        <v>123.19695000000009</v>
      </c>
      <c r="D21" s="387">
        <v>170.40733000000014</v>
      </c>
      <c r="E21" s="364">
        <v>66.851129999999841</v>
      </c>
    </row>
    <row r="22" spans="1:5" x14ac:dyDescent="0.2">
      <c r="A22" s="351" t="s">
        <v>438</v>
      </c>
      <c r="B22" s="376">
        <v>1.8143679999999999E-4</v>
      </c>
      <c r="C22" s="387">
        <v>1.20655472</v>
      </c>
      <c r="D22" s="387">
        <v>100.53413088000001</v>
      </c>
      <c r="E22" s="364">
        <v>5.1709488000000001E-3</v>
      </c>
    </row>
    <row r="23" spans="1:5" x14ac:dyDescent="0.2">
      <c r="A23" s="351" t="s">
        <v>434</v>
      </c>
      <c r="B23" s="376">
        <v>1.673E-4</v>
      </c>
      <c r="C23" s="387">
        <v>1.1199999999999997</v>
      </c>
      <c r="D23" s="387">
        <v>5.2199999999999918</v>
      </c>
      <c r="E23" s="364">
        <v>5.4000000000000012E-4</v>
      </c>
    </row>
    <row r="24" spans="1:5" x14ac:dyDescent="0.2">
      <c r="A24" s="351" t="s">
        <v>435</v>
      </c>
      <c r="B24" s="376">
        <v>0</v>
      </c>
      <c r="C24" s="387">
        <v>21.836000000000016</v>
      </c>
      <c r="D24" s="387">
        <v>5.4609999999999959</v>
      </c>
      <c r="E24" s="364">
        <v>9.5070000000000139</v>
      </c>
    </row>
    <row r="25" spans="1:5" x14ac:dyDescent="0.2">
      <c r="A25" s="352" t="s">
        <v>448</v>
      </c>
      <c r="B25" s="377">
        <f t="shared" ref="B25:E25" si="2">B26</f>
        <v>0</v>
      </c>
      <c r="C25" s="388">
        <f t="shared" si="2"/>
        <v>1.3899999999999997E-2</v>
      </c>
      <c r="D25" s="388">
        <f t="shared" si="2"/>
        <v>3.4400000000000025E-3</v>
      </c>
      <c r="E25" s="365">
        <f t="shared" si="2"/>
        <v>7.8000000000000161E-3</v>
      </c>
    </row>
    <row r="26" spans="1:5" x14ac:dyDescent="0.2">
      <c r="A26" s="351" t="s">
        <v>449</v>
      </c>
      <c r="B26" s="376"/>
      <c r="C26" s="387">
        <v>1.3899999999999997E-2</v>
      </c>
      <c r="D26" s="387">
        <v>3.4400000000000025E-3</v>
      </c>
      <c r="E26" s="364">
        <v>7.8000000000000161E-3</v>
      </c>
    </row>
    <row r="27" spans="1:5" x14ac:dyDescent="0.2">
      <c r="A27" s="352" t="s">
        <v>450</v>
      </c>
      <c r="B27" s="377">
        <f t="shared" ref="B27:E27" si="3">B28</f>
        <v>4.0533321751783327E-2</v>
      </c>
      <c r="C27" s="388">
        <f t="shared" si="3"/>
        <v>2035.8063044526668</v>
      </c>
      <c r="D27" s="388">
        <f t="shared" si="3"/>
        <v>204.86426318950006</v>
      </c>
      <c r="E27" s="365">
        <f t="shared" si="3"/>
        <v>20.264109155666652</v>
      </c>
    </row>
    <row r="28" spans="1:5" x14ac:dyDescent="0.2">
      <c r="A28" s="351" t="s">
        <v>451</v>
      </c>
      <c r="B28" s="378">
        <v>4.0533321751783327E-2</v>
      </c>
      <c r="C28" s="390">
        <v>2035.8063044526668</v>
      </c>
      <c r="D28" s="390">
        <v>204.86426318950006</v>
      </c>
      <c r="E28" s="367">
        <v>20.264109155666652</v>
      </c>
    </row>
    <row r="29" spans="1:5" x14ac:dyDescent="0.2">
      <c r="A29" s="358" t="s">
        <v>452</v>
      </c>
      <c r="B29" s="379">
        <f>B30+B33+B35</f>
        <v>0</v>
      </c>
      <c r="C29" s="391">
        <f>C30+C33+C35</f>
        <v>0</v>
      </c>
      <c r="D29" s="391">
        <f>D30+D33+D35</f>
        <v>0</v>
      </c>
      <c r="E29" s="368">
        <f>E30+E33+E35</f>
        <v>0</v>
      </c>
    </row>
    <row r="30" spans="1:5" x14ac:dyDescent="0.2">
      <c r="A30" s="352" t="s">
        <v>453</v>
      </c>
      <c r="B30" s="377">
        <f>SUM(B32:B32)</f>
        <v>0</v>
      </c>
      <c r="C30" s="388">
        <f>SUM(C32:C32)</f>
        <v>0</v>
      </c>
      <c r="D30" s="388">
        <f>SUM(D32:D32)</f>
        <v>0</v>
      </c>
      <c r="E30" s="365">
        <f>SUM(E32:E32)</f>
        <v>0</v>
      </c>
    </row>
    <row r="31" spans="1:5" x14ac:dyDescent="0.2">
      <c r="A31" s="354" t="s">
        <v>454</v>
      </c>
      <c r="B31" s="380"/>
      <c r="C31" s="392"/>
      <c r="D31" s="392"/>
      <c r="E31" s="369"/>
    </row>
    <row r="32" spans="1:5" x14ac:dyDescent="0.2">
      <c r="A32" s="351" t="s">
        <v>455</v>
      </c>
      <c r="B32" s="380"/>
      <c r="C32" s="392"/>
      <c r="D32" s="392"/>
      <c r="E32" s="369"/>
    </row>
    <row r="33" spans="1:5" x14ac:dyDescent="0.2">
      <c r="A33" s="353" t="s">
        <v>456</v>
      </c>
      <c r="B33" s="377">
        <v>0</v>
      </c>
      <c r="C33" s="388">
        <v>0</v>
      </c>
      <c r="D33" s="388">
        <v>0</v>
      </c>
      <c r="E33" s="365">
        <v>0</v>
      </c>
    </row>
    <row r="34" spans="1:5" x14ac:dyDescent="0.2">
      <c r="A34" s="351" t="s">
        <v>457</v>
      </c>
      <c r="B34" s="380"/>
      <c r="C34" s="392"/>
      <c r="D34" s="392"/>
      <c r="E34" s="369"/>
    </row>
    <row r="35" spans="1:5" x14ac:dyDescent="0.2">
      <c r="A35" s="352" t="s">
        <v>458</v>
      </c>
      <c r="B35" s="377">
        <f t="shared" ref="B35:E35" si="4">SUM(B36)</f>
        <v>0</v>
      </c>
      <c r="C35" s="388">
        <f t="shared" si="4"/>
        <v>0</v>
      </c>
      <c r="D35" s="388">
        <f t="shared" si="4"/>
        <v>0</v>
      </c>
      <c r="E35" s="365">
        <f t="shared" si="4"/>
        <v>0</v>
      </c>
    </row>
    <row r="36" spans="1:5" ht="12.75" thickBot="1" x14ac:dyDescent="0.25">
      <c r="A36" s="351" t="s">
        <v>459</v>
      </c>
      <c r="B36" s="381"/>
      <c r="C36" s="393"/>
      <c r="D36" s="393"/>
      <c r="E36" s="370"/>
    </row>
    <row r="38" spans="1:5" x14ac:dyDescent="0.2">
      <c r="A38" s="355" t="s">
        <v>483</v>
      </c>
      <c r="B38" s="874" t="s">
        <v>617</v>
      </c>
      <c r="C38" s="874"/>
      <c r="D38" s="874"/>
      <c r="E38" s="874"/>
    </row>
    <row r="39" spans="1:5" x14ac:dyDescent="0.2">
      <c r="B39" s="874"/>
      <c r="C39" s="874"/>
      <c r="D39" s="874"/>
      <c r="E39" s="874"/>
    </row>
  </sheetData>
  <sheetProtection algorithmName="SHA-512" hashValue="nVhQorKy/fWjWpNgFc7nQRz+Q7yDx0gq65m9GDbfrm9MapBNMac5LnHm055jgmJ/tLQMFE+ve7mV+WNGSTKeIQ==" saltValue="T9iCvVnaeMNV05PVC5/EyQ==" spinCount="100000" sheet="1" objects="1" scenarios="1"/>
  <mergeCells count="2">
    <mergeCell ref="B1:E1"/>
    <mergeCell ref="B38:E3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FF984-E029-4E00-98FB-DF2C504D1094}">
  <dimension ref="A1:G33"/>
  <sheetViews>
    <sheetView showGridLines="0" zoomScaleNormal="100" zoomScaleSheetLayoutView="90" workbookViewId="0">
      <selection activeCell="A2" sqref="A2"/>
    </sheetView>
  </sheetViews>
  <sheetFormatPr defaultColWidth="9.140625" defaultRowHeight="12" x14ac:dyDescent="0.2"/>
  <cols>
    <col min="1" max="1" width="25.85546875" style="355" customWidth="1"/>
    <col min="2" max="4" width="24.42578125" style="344" customWidth="1"/>
    <col min="5" max="5" width="15.85546875" style="344" customWidth="1"/>
    <col min="6" max="6" width="14" style="344" customWidth="1"/>
    <col min="7" max="7" width="24.42578125" style="344" customWidth="1"/>
    <col min="8" max="16384" width="9.140625" style="344"/>
  </cols>
  <sheetData>
    <row r="1" spans="1:7" x14ac:dyDescent="0.2">
      <c r="B1" s="822" t="s">
        <v>618</v>
      </c>
      <c r="C1" s="823"/>
      <c r="D1" s="823"/>
      <c r="E1" s="823"/>
      <c r="F1" s="823"/>
      <c r="G1" s="824"/>
    </row>
    <row r="2" spans="1:7" ht="36" customHeight="1" x14ac:dyDescent="0.2">
      <c r="A2" s="351"/>
      <c r="B2" s="426" t="s">
        <v>619</v>
      </c>
      <c r="C2" s="427" t="s">
        <v>620</v>
      </c>
      <c r="D2" s="427" t="s">
        <v>621</v>
      </c>
      <c r="E2" s="875" t="s">
        <v>622</v>
      </c>
      <c r="F2" s="876"/>
      <c r="G2" s="359" t="s">
        <v>623</v>
      </c>
    </row>
    <row r="3" spans="1:7" x14ac:dyDescent="0.2">
      <c r="A3" s="351"/>
      <c r="B3" s="372" t="s">
        <v>588</v>
      </c>
      <c r="C3" s="383" t="s">
        <v>588</v>
      </c>
      <c r="D3" s="383" t="s">
        <v>588</v>
      </c>
      <c r="E3" s="345" t="s">
        <v>588</v>
      </c>
      <c r="F3" s="428"/>
      <c r="G3" s="360" t="s">
        <v>588</v>
      </c>
    </row>
    <row r="4" spans="1:7" x14ac:dyDescent="0.2">
      <c r="A4" s="356" t="s">
        <v>417</v>
      </c>
      <c r="B4" s="406">
        <f>B5+B26</f>
        <v>77430434.229901537</v>
      </c>
      <c r="C4" s="407">
        <f>C5+C26</f>
        <v>313708217.78071821</v>
      </c>
      <c r="D4" s="407">
        <f>D5+D26</f>
        <v>396080535.84766877</v>
      </c>
      <c r="E4" s="408">
        <f>E5+E26</f>
        <v>108259922.58223021</v>
      </c>
      <c r="F4" s="394">
        <f t="shared" ref="F4:F9" si="0">E4/(D4+B4)</f>
        <v>0.22863234312078373</v>
      </c>
      <c r="G4" s="395">
        <f>G5+G26</f>
        <v>203.76606211589322</v>
      </c>
    </row>
    <row r="5" spans="1:7" x14ac:dyDescent="0.2">
      <c r="A5" s="357" t="s">
        <v>418</v>
      </c>
      <c r="B5" s="409">
        <f>B6+B8+B10+B12+B15+B17+B22+B24</f>
        <v>55935412.70361352</v>
      </c>
      <c r="C5" s="410">
        <f t="shared" ref="C5:E5" si="1">C6+C8+C10+C12+C15+C17+C22+C24</f>
        <v>236843494.53726399</v>
      </c>
      <c r="D5" s="410">
        <f t="shared" si="1"/>
        <v>319215812.60421455</v>
      </c>
      <c r="E5" s="411">
        <f t="shared" si="1"/>
        <v>108259922.58223021</v>
      </c>
      <c r="F5" s="396">
        <f t="shared" si="0"/>
        <v>0.2885767532636957</v>
      </c>
      <c r="G5" s="397">
        <f>G6+G8+G10+G12+G15+G17+G22+G24</f>
        <v>203.76606211589322</v>
      </c>
    </row>
    <row r="6" spans="1:7" x14ac:dyDescent="0.2">
      <c r="A6" s="352" t="s">
        <v>624</v>
      </c>
      <c r="B6" s="412">
        <f>SUM(B7:B7)</f>
        <v>0</v>
      </c>
      <c r="C6" s="413">
        <f>SUM(C7:C7)</f>
        <v>39857456.999999985</v>
      </c>
      <c r="D6" s="413">
        <f>SUM(D7:D7)</f>
        <v>39857456.999999985</v>
      </c>
      <c r="E6" s="414">
        <f>SUM(E7:E7)</f>
        <v>39857457</v>
      </c>
      <c r="F6" s="398">
        <f t="shared" si="0"/>
        <v>1.0000000000000004</v>
      </c>
      <c r="G6" s="399">
        <f>SUM(G7:G7)</f>
        <v>58.319000000000131</v>
      </c>
    </row>
    <row r="7" spans="1:7" x14ac:dyDescent="0.2">
      <c r="A7" s="351" t="s">
        <v>420</v>
      </c>
      <c r="B7" s="415"/>
      <c r="C7" s="416">
        <v>39857456.999999985</v>
      </c>
      <c r="D7" s="416">
        <v>39857456.999999985</v>
      </c>
      <c r="E7" s="347">
        <v>39857457</v>
      </c>
      <c r="F7" s="400">
        <f t="shared" si="0"/>
        <v>1.0000000000000004</v>
      </c>
      <c r="G7" s="401">
        <v>58.319000000000131</v>
      </c>
    </row>
    <row r="8" spans="1:7" x14ac:dyDescent="0.2">
      <c r="A8" s="353" t="s">
        <v>428</v>
      </c>
      <c r="B8" s="412">
        <f>SUM(B9:B9)</f>
        <v>2685713.9999999981</v>
      </c>
      <c r="C8" s="413">
        <f>SUM(C9:C9)</f>
        <v>3629475.0000000023</v>
      </c>
      <c r="D8" s="413">
        <f>SUM(D9:D9)</f>
        <v>3852149.0000000005</v>
      </c>
      <c r="E8" s="414">
        <f>SUM(E9:E9)</f>
        <v>6515721.0000000168</v>
      </c>
      <c r="F8" s="398">
        <f t="shared" si="0"/>
        <v>0.99661326644501702</v>
      </c>
      <c r="G8" s="399">
        <f>SUM(G9:G9)</f>
        <v>0</v>
      </c>
    </row>
    <row r="9" spans="1:7" x14ac:dyDescent="0.2">
      <c r="A9" s="351" t="s">
        <v>429</v>
      </c>
      <c r="B9" s="415">
        <v>2685713.9999999981</v>
      </c>
      <c r="C9" s="416">
        <v>3629475.0000000023</v>
      </c>
      <c r="D9" s="416">
        <v>3852149.0000000005</v>
      </c>
      <c r="E9" s="347">
        <v>6515721.0000000168</v>
      </c>
      <c r="F9" s="400">
        <f t="shared" si="0"/>
        <v>0.99661326644501702</v>
      </c>
      <c r="G9" s="401"/>
    </row>
    <row r="10" spans="1:7" x14ac:dyDescent="0.2">
      <c r="A10" s="352" t="s">
        <v>589</v>
      </c>
      <c r="B10" s="412">
        <f t="shared" ref="B10:E10" si="2">B11</f>
        <v>10954787.000000007</v>
      </c>
      <c r="C10" s="413">
        <f t="shared" si="2"/>
        <v>19904792.000000004</v>
      </c>
      <c r="D10" s="413">
        <f t="shared" si="2"/>
        <v>25075751.000000011</v>
      </c>
      <c r="E10" s="414">
        <f t="shared" si="2"/>
        <v>21583315.999999978</v>
      </c>
      <c r="F10" s="398">
        <f t="shared" ref="F10:F21" si="3">E10/(D10+B10)</f>
        <v>0.59902841306449461</v>
      </c>
      <c r="G10" s="399">
        <f t="shared" ref="G10" si="4">G11</f>
        <v>0.30700000000000016</v>
      </c>
    </row>
    <row r="11" spans="1:7" x14ac:dyDescent="0.2">
      <c r="A11" s="351" t="s">
        <v>441</v>
      </c>
      <c r="B11" s="415">
        <v>10954787.000000007</v>
      </c>
      <c r="C11" s="416">
        <v>19904792.000000004</v>
      </c>
      <c r="D11" s="416">
        <v>25075751.000000011</v>
      </c>
      <c r="E11" s="347">
        <v>21583315.999999978</v>
      </c>
      <c r="F11" s="400">
        <f t="shared" si="3"/>
        <v>0.59902841306449461</v>
      </c>
      <c r="G11" s="401">
        <v>0.30700000000000016</v>
      </c>
    </row>
    <row r="12" spans="1:7" x14ac:dyDescent="0.2">
      <c r="A12" s="352" t="s">
        <v>614</v>
      </c>
      <c r="B12" s="412">
        <f>SUM(B13:B14)</f>
        <v>0</v>
      </c>
      <c r="C12" s="413">
        <f>SUM(C13:C14)</f>
        <v>9969920.100000022</v>
      </c>
      <c r="D12" s="413">
        <f>SUM(D13:D14)</f>
        <v>31023275.746918477</v>
      </c>
      <c r="E12" s="414">
        <f>SUM(E13:E14)</f>
        <v>21044878.720630214</v>
      </c>
      <c r="F12" s="398">
        <f>E12/(D12+B12)</f>
        <v>0.67835772380421777</v>
      </c>
      <c r="G12" s="399">
        <f>SUM(G13:G14)</f>
        <v>5.4894021158930197</v>
      </c>
    </row>
    <row r="13" spans="1:7" x14ac:dyDescent="0.2">
      <c r="A13" s="351" t="s">
        <v>443</v>
      </c>
      <c r="B13" s="415"/>
      <c r="C13" s="416">
        <v>701682.10000000207</v>
      </c>
      <c r="D13" s="416">
        <v>21582673.746918485</v>
      </c>
      <c r="E13" s="347">
        <v>21044878.720630214</v>
      </c>
      <c r="F13" s="400">
        <f t="shared" si="3"/>
        <v>0.97508209443396443</v>
      </c>
      <c r="G13" s="401">
        <v>4.0798321158930184</v>
      </c>
    </row>
    <row r="14" spans="1:7" x14ac:dyDescent="0.2">
      <c r="A14" s="351" t="s">
        <v>444</v>
      </c>
      <c r="B14" s="415"/>
      <c r="C14" s="416">
        <v>9268238.0000000205</v>
      </c>
      <c r="D14" s="416">
        <v>9440601.9999999944</v>
      </c>
      <c r="E14" s="347"/>
      <c r="F14" s="400">
        <f t="shared" si="3"/>
        <v>0</v>
      </c>
      <c r="G14" s="401">
        <v>1.4095700000000013</v>
      </c>
    </row>
    <row r="15" spans="1:7" x14ac:dyDescent="0.2">
      <c r="A15" s="352" t="s">
        <v>446</v>
      </c>
      <c r="B15" s="412">
        <f t="shared" ref="B15:E15" si="5">B16</f>
        <v>758353.00000000081</v>
      </c>
      <c r="C15" s="413">
        <f t="shared" si="5"/>
        <v>397881.00000000017</v>
      </c>
      <c r="D15" s="413">
        <f t="shared" si="5"/>
        <v>318718.99999999983</v>
      </c>
      <c r="E15" s="414">
        <f t="shared" si="5"/>
        <v>0</v>
      </c>
      <c r="F15" s="398">
        <f t="shared" si="3"/>
        <v>0</v>
      </c>
      <c r="G15" s="399">
        <f t="shared" ref="G15" si="6">G16</f>
        <v>0</v>
      </c>
    </row>
    <row r="16" spans="1:7" x14ac:dyDescent="0.2">
      <c r="A16" s="351" t="s">
        <v>447</v>
      </c>
      <c r="B16" s="415">
        <v>758353.00000000081</v>
      </c>
      <c r="C16" s="416">
        <v>397881.00000000017</v>
      </c>
      <c r="D16" s="416">
        <v>318718.99999999983</v>
      </c>
      <c r="E16" s="347"/>
      <c r="F16" s="400">
        <f t="shared" si="3"/>
        <v>0</v>
      </c>
      <c r="G16" s="401"/>
    </row>
    <row r="17" spans="1:7" x14ac:dyDescent="0.2">
      <c r="A17" s="352" t="s">
        <v>616</v>
      </c>
      <c r="B17" s="412">
        <f>SUM(B18:B21)</f>
        <v>16037130.279647984</v>
      </c>
      <c r="C17" s="413">
        <f>SUM(C18:C21)</f>
        <v>95294157.437263846</v>
      </c>
      <c r="D17" s="413">
        <f>SUM(D18:D21)</f>
        <v>151298648.85729596</v>
      </c>
      <c r="E17" s="414">
        <f>SUM(E18:E21)</f>
        <v>18645163.101599995</v>
      </c>
      <c r="F17" s="398">
        <f t="shared" si="3"/>
        <v>0.11142364889185595</v>
      </c>
      <c r="G17" s="399">
        <f>SUM(G18:G21)</f>
        <v>139.64800000000008</v>
      </c>
    </row>
    <row r="18" spans="1:7" x14ac:dyDescent="0.2">
      <c r="A18" s="351" t="s">
        <v>478</v>
      </c>
      <c r="B18" s="415">
        <v>4527565.8099999977</v>
      </c>
      <c r="C18" s="416">
        <v>69246184.129999846</v>
      </c>
      <c r="D18" s="416">
        <v>96427933.699999899</v>
      </c>
      <c r="E18" s="347"/>
      <c r="F18" s="400">
        <f t="shared" si="3"/>
        <v>0</v>
      </c>
      <c r="G18" s="401">
        <v>7.8000000000000166E-2</v>
      </c>
    </row>
    <row r="19" spans="1:7" x14ac:dyDescent="0.2">
      <c r="A19" s="351" t="s">
        <v>480</v>
      </c>
      <c r="B19" s="415">
        <v>11012384.999999987</v>
      </c>
      <c r="C19" s="416">
        <v>25732188</v>
      </c>
      <c r="D19" s="416">
        <v>54554929.850000046</v>
      </c>
      <c r="E19" s="347">
        <v>18481644.999999996</v>
      </c>
      <c r="F19" s="400">
        <f t="shared" si="3"/>
        <v>0.28187283621848652</v>
      </c>
      <c r="G19" s="401">
        <v>139.57000000000008</v>
      </c>
    </row>
    <row r="20" spans="1:7" x14ac:dyDescent="0.2">
      <c r="A20" s="351" t="s">
        <v>438</v>
      </c>
      <c r="B20" s="415">
        <v>497179.46964800003</v>
      </c>
      <c r="C20" s="416">
        <v>163518.10159999999</v>
      </c>
      <c r="D20" s="416">
        <v>163518.10163200001</v>
      </c>
      <c r="E20" s="347">
        <v>163518.10159999999</v>
      </c>
      <c r="F20" s="400">
        <f t="shared" si="3"/>
        <v>0.24749311743829902</v>
      </c>
      <c r="G20" s="401"/>
    </row>
    <row r="21" spans="1:7" x14ac:dyDescent="0.2">
      <c r="A21" s="351" t="s">
        <v>434</v>
      </c>
      <c r="B21" s="415"/>
      <c r="C21" s="416">
        <v>152267.20566400001</v>
      </c>
      <c r="D21" s="416">
        <v>152267.20566400001</v>
      </c>
      <c r="E21" s="347"/>
      <c r="F21" s="400">
        <f t="shared" si="3"/>
        <v>0</v>
      </c>
      <c r="G21" s="401"/>
    </row>
    <row r="22" spans="1:7" x14ac:dyDescent="0.2">
      <c r="A22" s="352" t="s">
        <v>448</v>
      </c>
      <c r="B22" s="412">
        <f t="shared" ref="B22:E22" si="7">B23</f>
        <v>21485396.000000022</v>
      </c>
      <c r="C22" s="413">
        <f t="shared" si="7"/>
        <v>51142476.000000112</v>
      </c>
      <c r="D22" s="413">
        <f t="shared" si="7"/>
        <v>51142476.000000112</v>
      </c>
      <c r="E22" s="414">
        <f t="shared" si="7"/>
        <v>30730.000000000007</v>
      </c>
      <c r="F22" s="398">
        <f t="shared" ref="F22:F27" si="8">E22/(D22+B22)</f>
        <v>4.2311579774772899E-4</v>
      </c>
      <c r="G22" s="399">
        <f t="shared" ref="G22" si="9">G23</f>
        <v>0</v>
      </c>
    </row>
    <row r="23" spans="1:7" x14ac:dyDescent="0.2">
      <c r="A23" s="351" t="s">
        <v>449</v>
      </c>
      <c r="B23" s="415">
        <v>21485396.000000022</v>
      </c>
      <c r="C23" s="416">
        <v>51142476.000000112</v>
      </c>
      <c r="D23" s="416">
        <v>51142476.000000112</v>
      </c>
      <c r="E23" s="347">
        <v>30730.000000000007</v>
      </c>
      <c r="F23" s="400">
        <f t="shared" si="8"/>
        <v>4.2311579774772899E-4</v>
      </c>
      <c r="G23" s="401"/>
    </row>
    <row r="24" spans="1:7" x14ac:dyDescent="0.2">
      <c r="A24" s="352" t="s">
        <v>450</v>
      </c>
      <c r="B24" s="412">
        <f t="shared" ref="B24:E24" si="10">B25</f>
        <v>4014032.4239655053</v>
      </c>
      <c r="C24" s="413">
        <f t="shared" si="10"/>
        <v>16647336</v>
      </c>
      <c r="D24" s="413">
        <f t="shared" si="10"/>
        <v>16647336</v>
      </c>
      <c r="E24" s="414">
        <f t="shared" si="10"/>
        <v>582656.76</v>
      </c>
      <c r="F24" s="398">
        <f t="shared" si="8"/>
        <v>2.8200298646442294E-2</v>
      </c>
      <c r="G24" s="399">
        <f t="shared" ref="G24" si="11">G25</f>
        <v>2.66E-3</v>
      </c>
    </row>
    <row r="25" spans="1:7" x14ac:dyDescent="0.2">
      <c r="A25" s="351" t="s">
        <v>451</v>
      </c>
      <c r="B25" s="415">
        <v>4014032.4239655053</v>
      </c>
      <c r="C25" s="416">
        <v>16647336</v>
      </c>
      <c r="D25" s="416">
        <v>16647336</v>
      </c>
      <c r="E25" s="347">
        <v>582656.76</v>
      </c>
      <c r="F25" s="400">
        <f t="shared" si="8"/>
        <v>2.8200298646442294E-2</v>
      </c>
      <c r="G25" s="401">
        <v>2.66E-3</v>
      </c>
    </row>
    <row r="26" spans="1:7" x14ac:dyDescent="0.2">
      <c r="A26" s="358" t="s">
        <v>452</v>
      </c>
      <c r="B26" s="417">
        <f>B27+B30+B32</f>
        <v>21495021.526288014</v>
      </c>
      <c r="C26" s="418">
        <f>C27+C30+C32</f>
        <v>76864723.243454188</v>
      </c>
      <c r="D26" s="418">
        <f>D27+D30+D32</f>
        <v>76864723.243454188</v>
      </c>
      <c r="E26" s="419">
        <f>E27+E30+E32</f>
        <v>0</v>
      </c>
      <c r="F26" s="396">
        <f>E26/(D26+B26)</f>
        <v>0</v>
      </c>
      <c r="G26" s="402">
        <f>G27+G30+G32</f>
        <v>0</v>
      </c>
    </row>
    <row r="27" spans="1:7" x14ac:dyDescent="0.2">
      <c r="A27" s="352" t="s">
        <v>453</v>
      </c>
      <c r="B27" s="412">
        <f>SUM(B28:B29)</f>
        <v>9944582.544391904</v>
      </c>
      <c r="C27" s="413">
        <f>SUM(C28:C29)</f>
        <v>36433716.367427774</v>
      </c>
      <c r="D27" s="413">
        <f>SUM(D28:D29)</f>
        <v>36433716.367427774</v>
      </c>
      <c r="E27" s="414">
        <f>SUM(E28:E29)</f>
        <v>0</v>
      </c>
      <c r="F27" s="398">
        <f t="shared" si="8"/>
        <v>0</v>
      </c>
      <c r="G27" s="399">
        <f>SUM(G29:G29)</f>
        <v>0</v>
      </c>
    </row>
    <row r="28" spans="1:7" x14ac:dyDescent="0.2">
      <c r="A28" s="354" t="s">
        <v>454</v>
      </c>
      <c r="B28" s="420">
        <v>5064001.3436359027</v>
      </c>
      <c r="C28" s="421">
        <v>31733876.249953777</v>
      </c>
      <c r="D28" s="421">
        <v>31733876.249953777</v>
      </c>
      <c r="E28" s="348">
        <v>0</v>
      </c>
      <c r="F28" s="400">
        <v>0</v>
      </c>
      <c r="G28" s="403"/>
    </row>
    <row r="29" spans="1:7" x14ac:dyDescent="0.2">
      <c r="A29" s="559" t="s">
        <v>455</v>
      </c>
      <c r="B29" s="560">
        <v>4880581.2007560004</v>
      </c>
      <c r="C29" s="561">
        <v>4699840.117474</v>
      </c>
      <c r="D29" s="562">
        <v>4699840.117474</v>
      </c>
      <c r="E29" s="563"/>
      <c r="F29" s="564">
        <v>0.05</v>
      </c>
      <c r="G29" s="565"/>
    </row>
    <row r="30" spans="1:7" x14ac:dyDescent="0.2">
      <c r="A30" s="353" t="s">
        <v>456</v>
      </c>
      <c r="B30" s="412">
        <f>B31</f>
        <v>3491360.88</v>
      </c>
      <c r="C30" s="413">
        <f>C31</f>
        <v>15322136</v>
      </c>
      <c r="D30" s="413">
        <f>D31</f>
        <v>15322136</v>
      </c>
      <c r="E30" s="414">
        <v>0</v>
      </c>
      <c r="F30" s="398">
        <f>E30/(D30+B30)</f>
        <v>0</v>
      </c>
      <c r="G30" s="399">
        <v>0</v>
      </c>
    </row>
    <row r="31" spans="1:7" x14ac:dyDescent="0.2">
      <c r="A31" s="351" t="s">
        <v>457</v>
      </c>
      <c r="B31" s="415">
        <v>3491360.88</v>
      </c>
      <c r="C31" s="416">
        <v>15322136</v>
      </c>
      <c r="D31" s="421">
        <v>15322136</v>
      </c>
      <c r="E31" s="348">
        <v>0</v>
      </c>
      <c r="F31" s="400">
        <f>E31/(D31+B31)</f>
        <v>0</v>
      </c>
      <c r="G31" s="403"/>
    </row>
    <row r="32" spans="1:7" x14ac:dyDescent="0.2">
      <c r="A32" s="352" t="s">
        <v>458</v>
      </c>
      <c r="B32" s="412">
        <f t="shared" ref="B32:E32" si="12">SUM(B33)</f>
        <v>8059078.1018961109</v>
      </c>
      <c r="C32" s="413">
        <f t="shared" si="12"/>
        <v>25108870.876026407</v>
      </c>
      <c r="D32" s="413">
        <f t="shared" si="12"/>
        <v>25108870.876026411</v>
      </c>
      <c r="E32" s="414">
        <f t="shared" si="12"/>
        <v>0</v>
      </c>
      <c r="F32" s="398">
        <f>E32/(D32+B32)</f>
        <v>0</v>
      </c>
      <c r="G32" s="399">
        <f t="shared" ref="G32" si="13">SUM(G33)</f>
        <v>0</v>
      </c>
    </row>
    <row r="33" spans="1:7" ht="12.75" thickBot="1" x14ac:dyDescent="0.25">
      <c r="A33" s="351" t="s">
        <v>459</v>
      </c>
      <c r="B33" s="422">
        <v>8059078.1018961109</v>
      </c>
      <c r="C33" s="423">
        <v>25108870.876026407</v>
      </c>
      <c r="D33" s="424">
        <v>25108870.876026411</v>
      </c>
      <c r="E33" s="425"/>
      <c r="F33" s="404">
        <f>E33/(D33+B33)</f>
        <v>0</v>
      </c>
      <c r="G33" s="405"/>
    </row>
  </sheetData>
  <sheetProtection algorithmName="SHA-512" hashValue="MaXIpTW4tOCEObZNv3MImUWUMDsisIeTx1U0OdMiNYRmvnKW3ckI1YyhGcjw+xvDwsWJZu/rP/bwRWQwsyr1Uw==" saltValue="/HjD38BnmSCuv2fvHfSpBg==" spinCount="100000" sheet="1" objects="1" scenarios="1"/>
  <mergeCells count="2">
    <mergeCell ref="B1:G1"/>
    <mergeCell ref="E2:F2"/>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9C1F9-0625-4F83-A61B-A337A4B7F953}">
  <dimension ref="A1:C35"/>
  <sheetViews>
    <sheetView showGridLines="0" workbookViewId="0">
      <selection activeCell="A2" sqref="A2"/>
    </sheetView>
  </sheetViews>
  <sheetFormatPr defaultColWidth="9.140625" defaultRowHeight="12" x14ac:dyDescent="0.2"/>
  <cols>
    <col min="1" max="1" width="25.85546875" style="355" customWidth="1"/>
    <col min="2" max="3" width="24.42578125" style="344" customWidth="1"/>
    <col min="4" max="16384" width="9.140625" style="344"/>
  </cols>
  <sheetData>
    <row r="1" spans="1:3" x14ac:dyDescent="0.2">
      <c r="A1" s="351"/>
      <c r="B1" s="871" t="s">
        <v>625</v>
      </c>
      <c r="C1" s="873"/>
    </row>
    <row r="2" spans="1:3" ht="24" x14ac:dyDescent="0.2">
      <c r="A2" s="351"/>
      <c r="B2" s="443" t="s">
        <v>626</v>
      </c>
      <c r="C2" s="444" t="s">
        <v>627</v>
      </c>
    </row>
    <row r="3" spans="1:3" x14ac:dyDescent="0.2">
      <c r="A3" s="351"/>
      <c r="B3" s="372" t="s">
        <v>588</v>
      </c>
      <c r="C3" s="360" t="s">
        <v>588</v>
      </c>
    </row>
    <row r="4" spans="1:3" x14ac:dyDescent="0.2">
      <c r="A4" s="356" t="s">
        <v>417</v>
      </c>
      <c r="B4" s="436">
        <f>B5+B28</f>
        <v>706753.57006535074</v>
      </c>
      <c r="C4" s="433">
        <f>C5+C28</f>
        <v>29368.871039484708</v>
      </c>
    </row>
    <row r="5" spans="1:3" x14ac:dyDescent="0.2">
      <c r="A5" s="357" t="s">
        <v>418</v>
      </c>
      <c r="B5" s="437">
        <f>B6+B8+B10+B12+B14+B17+B19+B24+B26</f>
        <v>706753.57006535074</v>
      </c>
      <c r="C5" s="434">
        <f>C6+C8+C10+C12+C14+C17+C19+C24+C26</f>
        <v>15246.678654648</v>
      </c>
    </row>
    <row r="6" spans="1:3" x14ac:dyDescent="0.2">
      <c r="A6" s="352" t="s">
        <v>624</v>
      </c>
      <c r="B6" s="438">
        <f>SUM(B7:B7)</f>
        <v>8238.5600000000177</v>
      </c>
      <c r="C6" s="435">
        <f>SUM(C7:C7)</f>
        <v>629.92500000000177</v>
      </c>
    </row>
    <row r="7" spans="1:3" x14ac:dyDescent="0.2">
      <c r="A7" s="351" t="s">
        <v>420</v>
      </c>
      <c r="B7" s="439">
        <v>8238.5600000000177</v>
      </c>
      <c r="C7" s="430">
        <v>629.92500000000177</v>
      </c>
    </row>
    <row r="8" spans="1:3" x14ac:dyDescent="0.2">
      <c r="A8" s="353" t="s">
        <v>428</v>
      </c>
      <c r="B8" s="438">
        <f>SUM(B9:B9)</f>
        <v>1220.0000000000007</v>
      </c>
      <c r="C8" s="435">
        <f>SUM(C9:C9)</f>
        <v>420.73500000000018</v>
      </c>
    </row>
    <row r="9" spans="1:3" x14ac:dyDescent="0.2">
      <c r="A9" s="351" t="s">
        <v>429</v>
      </c>
      <c r="B9" s="439">
        <v>1220.0000000000007</v>
      </c>
      <c r="C9" s="430">
        <v>420.73500000000018</v>
      </c>
    </row>
    <row r="10" spans="1:3" x14ac:dyDescent="0.2">
      <c r="A10" s="352" t="s">
        <v>423</v>
      </c>
      <c r="B10" s="438">
        <v>0</v>
      </c>
      <c r="C10" s="435">
        <v>0</v>
      </c>
    </row>
    <row r="11" spans="1:3" x14ac:dyDescent="0.2">
      <c r="A11" s="354" t="s">
        <v>424</v>
      </c>
      <c r="B11" s="440">
        <v>0</v>
      </c>
      <c r="C11" s="429">
        <v>0</v>
      </c>
    </row>
    <row r="12" spans="1:3" x14ac:dyDescent="0.2">
      <c r="A12" s="352" t="s">
        <v>440</v>
      </c>
      <c r="B12" s="438">
        <f t="shared" ref="B12:C12" si="0">B13</f>
        <v>559876.99999999872</v>
      </c>
      <c r="C12" s="435">
        <f t="shared" si="0"/>
        <v>3737.2589999999982</v>
      </c>
    </row>
    <row r="13" spans="1:3" x14ac:dyDescent="0.2">
      <c r="A13" s="351" t="s">
        <v>441</v>
      </c>
      <c r="B13" s="439">
        <v>559876.99999999872</v>
      </c>
      <c r="C13" s="430">
        <v>3737.2589999999982</v>
      </c>
    </row>
    <row r="14" spans="1:3" x14ac:dyDescent="0.2">
      <c r="A14" s="352" t="s">
        <v>614</v>
      </c>
      <c r="B14" s="438">
        <f>SUM(B15:B16)</f>
        <v>59927.558999999994</v>
      </c>
      <c r="C14" s="435">
        <f>SUM(C15:C16)</f>
        <v>4764.7299999999996</v>
      </c>
    </row>
    <row r="15" spans="1:3" x14ac:dyDescent="0.2">
      <c r="A15" s="351" t="s">
        <v>443</v>
      </c>
      <c r="B15" s="439">
        <v>26580.665999999979</v>
      </c>
      <c r="C15" s="430">
        <v>2836.3649999999998</v>
      </c>
    </row>
    <row r="16" spans="1:3" x14ac:dyDescent="0.2">
      <c r="A16" s="351" t="s">
        <v>444</v>
      </c>
      <c r="B16" s="439">
        <v>33346.893000000011</v>
      </c>
      <c r="C16" s="430">
        <v>1928.3649999999998</v>
      </c>
    </row>
    <row r="17" spans="1:3" x14ac:dyDescent="0.2">
      <c r="A17" s="352" t="s">
        <v>446</v>
      </c>
      <c r="B17" s="438">
        <f t="shared" ref="B17:C17" si="1">B18</f>
        <v>0</v>
      </c>
      <c r="C17" s="435">
        <f t="shared" si="1"/>
        <v>0</v>
      </c>
    </row>
    <row r="18" spans="1:3" x14ac:dyDescent="0.2">
      <c r="A18" s="351" t="s">
        <v>447</v>
      </c>
      <c r="B18" s="439"/>
      <c r="C18" s="430"/>
    </row>
    <row r="19" spans="1:3" x14ac:dyDescent="0.2">
      <c r="A19" s="352" t="s">
        <v>616</v>
      </c>
      <c r="B19" s="438">
        <f>SUM(B20:B23)</f>
        <v>32050.09106535199</v>
      </c>
      <c r="C19" s="435">
        <f>SUM(C20:C23)</f>
        <v>4986.4176546480012</v>
      </c>
    </row>
    <row r="20" spans="1:3" x14ac:dyDescent="0.2">
      <c r="A20" s="351" t="s">
        <v>478</v>
      </c>
      <c r="B20" s="439">
        <v>18657.999999999989</v>
      </c>
      <c r="C20" s="430">
        <v>3224.0000000000009</v>
      </c>
    </row>
    <row r="21" spans="1:3" x14ac:dyDescent="0.2">
      <c r="A21" s="351" t="s">
        <v>480</v>
      </c>
      <c r="B21" s="439">
        <v>12140.46245472</v>
      </c>
      <c r="C21" s="430">
        <v>1127.9885032719999</v>
      </c>
    </row>
    <row r="22" spans="1:3" x14ac:dyDescent="0.2">
      <c r="A22" s="351" t="s">
        <v>438</v>
      </c>
      <c r="B22" s="439">
        <v>1251.6286106319999</v>
      </c>
      <c r="C22" s="430">
        <v>634.42915137600005</v>
      </c>
    </row>
    <row r="23" spans="1:3" x14ac:dyDescent="0.2">
      <c r="A23" s="351" t="s">
        <v>434</v>
      </c>
      <c r="B23" s="439"/>
      <c r="C23" s="430"/>
    </row>
    <row r="24" spans="1:3" x14ac:dyDescent="0.2">
      <c r="A24" s="352" t="s">
        <v>448</v>
      </c>
      <c r="B24" s="438">
        <f t="shared" ref="B24:C24" si="2">B25</f>
        <v>0</v>
      </c>
      <c r="C24" s="435">
        <f t="shared" si="2"/>
        <v>0</v>
      </c>
    </row>
    <row r="25" spans="1:3" x14ac:dyDescent="0.2">
      <c r="A25" s="351" t="s">
        <v>449</v>
      </c>
      <c r="B25" s="439"/>
      <c r="C25" s="430"/>
    </row>
    <row r="26" spans="1:3" x14ac:dyDescent="0.2">
      <c r="A26" s="352" t="s">
        <v>450</v>
      </c>
      <c r="B26" s="438">
        <f t="shared" ref="B26:C26" si="3">B27</f>
        <v>45440.36</v>
      </c>
      <c r="C26" s="435">
        <f t="shared" si="3"/>
        <v>707.61199999999997</v>
      </c>
    </row>
    <row r="27" spans="1:3" x14ac:dyDescent="0.2">
      <c r="A27" s="351" t="s">
        <v>451</v>
      </c>
      <c r="B27" s="439">
        <v>45440.36</v>
      </c>
      <c r="C27" s="430">
        <v>707.61199999999997</v>
      </c>
    </row>
    <row r="28" spans="1:3" x14ac:dyDescent="0.2">
      <c r="A28" s="358" t="s">
        <v>452</v>
      </c>
      <c r="B28" s="441">
        <f>B29+B32+B34</f>
        <v>0</v>
      </c>
      <c r="C28" s="432">
        <f>C29+C32+C34</f>
        <v>14122.192384836708</v>
      </c>
    </row>
    <row r="29" spans="1:3" x14ac:dyDescent="0.2">
      <c r="A29" s="352" t="s">
        <v>453</v>
      </c>
      <c r="B29" s="438">
        <f>SUM(B30:B31)</f>
        <v>0</v>
      </c>
      <c r="C29" s="435">
        <f>SUM(C30:C31)</f>
        <v>2357</v>
      </c>
    </row>
    <row r="30" spans="1:3" x14ac:dyDescent="0.2">
      <c r="A30" s="354" t="s">
        <v>454</v>
      </c>
      <c r="B30" s="440">
        <v>0</v>
      </c>
      <c r="C30" s="429">
        <v>0</v>
      </c>
    </row>
    <row r="31" spans="1:3" x14ac:dyDescent="0.2">
      <c r="A31" s="351" t="s">
        <v>455</v>
      </c>
      <c r="B31" s="440"/>
      <c r="C31" s="430">
        <v>2357</v>
      </c>
    </row>
    <row r="32" spans="1:3" x14ac:dyDescent="0.2">
      <c r="A32" s="353" t="s">
        <v>456</v>
      </c>
      <c r="B32" s="438">
        <f>B33</f>
        <v>0</v>
      </c>
      <c r="C32" s="435">
        <f>C33</f>
        <v>3987</v>
      </c>
    </row>
    <row r="33" spans="1:3" x14ac:dyDescent="0.2">
      <c r="A33" s="351" t="s">
        <v>457</v>
      </c>
      <c r="B33" s="440"/>
      <c r="C33" s="430">
        <v>3987</v>
      </c>
    </row>
    <row r="34" spans="1:3" x14ac:dyDescent="0.2">
      <c r="A34" s="352" t="s">
        <v>458</v>
      </c>
      <c r="B34" s="438">
        <f t="shared" ref="B34:C34" si="4">SUM(B35)</f>
        <v>0</v>
      </c>
      <c r="C34" s="435">
        <f t="shared" si="4"/>
        <v>7778.1923848367078</v>
      </c>
    </row>
    <row r="35" spans="1:3" ht="12.75" thickBot="1" x14ac:dyDescent="0.25">
      <c r="A35" s="351" t="s">
        <v>459</v>
      </c>
      <c r="B35" s="442"/>
      <c r="C35" s="431">
        <v>7778.1923848367078</v>
      </c>
    </row>
  </sheetData>
  <sheetProtection algorithmName="SHA-512" hashValue="0EO/hevryoq0WCUkSGeNoLhRggQqVZHA3snePUxW5lsWIa5SofNH3tFDWhHpTV4LidzfpvPyF3H4SNIMCoOEpA==" saltValue="oV/H3pbSCt+Q7joPeEjn1A==" spinCount="100000" sheet="1" objects="1" scenarios="1"/>
  <mergeCells count="1">
    <mergeCell ref="B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9B47A-AA02-4D1F-9FD0-CEA86DE6637F}">
  <dimension ref="A1:AR51"/>
  <sheetViews>
    <sheetView showGridLines="0" zoomScaleNormal="100" workbookViewId="0">
      <pane xSplit="3" ySplit="2" topLeftCell="I3" activePane="bottomRight" state="frozen"/>
      <selection pane="topRight" activeCell="D1" sqref="D1"/>
      <selection pane="bottomLeft" activeCell="A3" sqref="A3"/>
      <selection pane="bottomRight" activeCell="AS46" sqref="AS46"/>
    </sheetView>
  </sheetViews>
  <sheetFormatPr defaultColWidth="18.42578125" defaultRowHeight="12" x14ac:dyDescent="0.2"/>
  <cols>
    <col min="1" max="1" width="26.140625" style="355" customWidth="1"/>
    <col min="2" max="3" width="18.42578125" style="344" hidden="1" customWidth="1"/>
    <col min="4" max="5" width="18.42578125" style="344" customWidth="1"/>
    <col min="6" max="6" width="14.28515625" style="344" customWidth="1"/>
    <col min="7" max="8" width="18.42578125" style="344" hidden="1" customWidth="1"/>
    <col min="9" max="9" width="14.28515625" style="344" customWidth="1"/>
    <col min="10" max="11" width="18.42578125" style="344" hidden="1" customWidth="1"/>
    <col min="12" max="12" width="14.28515625" style="344" customWidth="1"/>
    <col min="13" max="14" width="18.42578125" style="344" hidden="1" customWidth="1"/>
    <col min="15" max="39" width="14.28515625" style="344" customWidth="1"/>
    <col min="40" max="43" width="14.28515625" style="344" hidden="1" customWidth="1"/>
    <col min="44" max="44" width="14.28515625" style="344" customWidth="1"/>
    <col min="45" max="16384" width="18.42578125" style="344"/>
  </cols>
  <sheetData>
    <row r="1" spans="1:44" s="485" customFormat="1" ht="15" customHeight="1" x14ac:dyDescent="0.2">
      <c r="A1" s="484"/>
      <c r="D1" s="822" t="s">
        <v>374</v>
      </c>
      <c r="E1" s="824"/>
      <c r="F1" s="822" t="s">
        <v>375</v>
      </c>
      <c r="G1" s="823"/>
      <c r="H1" s="823"/>
      <c r="I1" s="823"/>
      <c r="J1" s="823"/>
      <c r="K1" s="823"/>
      <c r="L1" s="823"/>
      <c r="M1" s="823"/>
      <c r="N1" s="823"/>
      <c r="O1" s="823"/>
      <c r="P1" s="824"/>
      <c r="Q1" s="822" t="s">
        <v>376</v>
      </c>
      <c r="R1" s="823"/>
      <c r="S1" s="823"/>
      <c r="T1" s="823"/>
      <c r="U1" s="824"/>
      <c r="V1" s="822" t="s">
        <v>377</v>
      </c>
      <c r="W1" s="823"/>
      <c r="X1" s="823"/>
      <c r="Y1" s="823"/>
      <c r="Z1" s="824"/>
      <c r="AA1" s="822" t="s">
        <v>378</v>
      </c>
      <c r="AB1" s="823"/>
      <c r="AC1" s="823"/>
      <c r="AD1" s="823"/>
      <c r="AE1" s="824"/>
      <c r="AF1" s="822" t="s">
        <v>379</v>
      </c>
      <c r="AG1" s="823"/>
      <c r="AH1" s="823"/>
      <c r="AI1" s="823"/>
      <c r="AJ1" s="823"/>
      <c r="AK1" s="823"/>
      <c r="AL1" s="823"/>
      <c r="AM1" s="823"/>
      <c r="AN1" s="823"/>
      <c r="AO1" s="823"/>
      <c r="AP1" s="823"/>
      <c r="AQ1" s="823"/>
      <c r="AR1" s="824"/>
    </row>
    <row r="2" spans="1:44" s="349" customFormat="1" ht="45" customHeight="1" x14ac:dyDescent="0.25">
      <c r="A2" s="349" t="s">
        <v>144</v>
      </c>
      <c r="B2" s="349" t="s">
        <v>380</v>
      </c>
      <c r="C2" s="349" t="s">
        <v>381</v>
      </c>
      <c r="D2" s="450" t="s">
        <v>382</v>
      </c>
      <c r="E2" s="451" t="s">
        <v>383</v>
      </c>
      <c r="F2" s="450" t="s">
        <v>384</v>
      </c>
      <c r="G2" s="349" t="s">
        <v>385</v>
      </c>
      <c r="H2" s="349" t="s">
        <v>386</v>
      </c>
      <c r="I2" s="349" t="s">
        <v>387</v>
      </c>
      <c r="J2" s="349" t="s">
        <v>388</v>
      </c>
      <c r="K2" s="349" t="s">
        <v>389</v>
      </c>
      <c r="L2" s="349" t="s">
        <v>390</v>
      </c>
      <c r="M2" s="349" t="s">
        <v>391</v>
      </c>
      <c r="N2" s="349" t="s">
        <v>392</v>
      </c>
      <c r="O2" s="349" t="s">
        <v>393</v>
      </c>
      <c r="P2" s="451" t="s">
        <v>382</v>
      </c>
      <c r="Q2" s="454" t="s">
        <v>394</v>
      </c>
      <c r="R2" s="445" t="s">
        <v>395</v>
      </c>
      <c r="S2" s="445" t="s">
        <v>396</v>
      </c>
      <c r="T2" s="445" t="s">
        <v>397</v>
      </c>
      <c r="U2" s="455" t="s">
        <v>398</v>
      </c>
      <c r="V2" s="450" t="s">
        <v>399</v>
      </c>
      <c r="W2" s="349" t="s">
        <v>400</v>
      </c>
      <c r="X2" s="349" t="s">
        <v>401</v>
      </c>
      <c r="Y2" s="349" t="s">
        <v>402</v>
      </c>
      <c r="Z2" s="451" t="s">
        <v>382</v>
      </c>
      <c r="AA2" s="450" t="s">
        <v>403</v>
      </c>
      <c r="AB2" s="349" t="s">
        <v>404</v>
      </c>
      <c r="AC2" s="349" t="s">
        <v>357</v>
      </c>
      <c r="AD2" s="349" t="s">
        <v>405</v>
      </c>
      <c r="AE2" s="451" t="s">
        <v>382</v>
      </c>
      <c r="AF2" s="450" t="s">
        <v>406</v>
      </c>
      <c r="AG2" s="349" t="s">
        <v>407</v>
      </c>
      <c r="AH2" s="349" t="s">
        <v>408</v>
      </c>
      <c r="AI2" s="349" t="s">
        <v>409</v>
      </c>
      <c r="AJ2" s="349" t="s">
        <v>410</v>
      </c>
      <c r="AK2" s="349" t="s">
        <v>411</v>
      </c>
      <c r="AL2" s="349" t="s">
        <v>412</v>
      </c>
      <c r="AM2" s="349" t="s">
        <v>413</v>
      </c>
      <c r="AN2" s="349" t="s">
        <v>414</v>
      </c>
      <c r="AO2" s="349" t="s">
        <v>415</v>
      </c>
      <c r="AP2" s="349" t="s">
        <v>416</v>
      </c>
      <c r="AQ2" s="349" t="s">
        <v>413</v>
      </c>
      <c r="AR2" s="451" t="s">
        <v>382</v>
      </c>
    </row>
    <row r="3" spans="1:44" x14ac:dyDescent="0.2">
      <c r="A3" s="356" t="s">
        <v>417</v>
      </c>
      <c r="B3" s="458">
        <f>B4+B41</f>
        <v>85348461.648691982</v>
      </c>
      <c r="C3" s="458">
        <f>C4+C41</f>
        <v>863332114.15697324</v>
      </c>
      <c r="D3" s="459">
        <f>P3+U3+Z3+AE3+AR3</f>
        <v>8726117259.8583813</v>
      </c>
      <c r="E3" s="461">
        <f>P3+Q3+R3+S3+Z3+AE3+AR3</f>
        <v>7480297020.736989</v>
      </c>
      <c r="F3" s="459">
        <f t="shared" ref="F3:F20" si="0">SUM(B3:C3)</f>
        <v>948680575.80566525</v>
      </c>
      <c r="G3" s="460">
        <f>G4+G41</f>
        <v>19329322.663439639</v>
      </c>
      <c r="H3" s="460">
        <f>H4+H41</f>
        <v>209413033.07759947</v>
      </c>
      <c r="I3" s="460">
        <f>SUM(G3:H3)</f>
        <v>228742355.7410391</v>
      </c>
      <c r="J3" s="460">
        <f>J4+J41</f>
        <v>23074625.173124999</v>
      </c>
      <c r="K3" s="460">
        <f>K4+K41</f>
        <v>227470681.29013938</v>
      </c>
      <c r="L3" s="460">
        <f>SUM(J3:K3)</f>
        <v>250545306.46326438</v>
      </c>
      <c r="M3" s="460">
        <f>M4+M41</f>
        <v>10225741</v>
      </c>
      <c r="N3" s="460">
        <f>N4+N41</f>
        <v>56890199.140000001</v>
      </c>
      <c r="O3" s="460">
        <f>SUM(M3:N3)</f>
        <v>67115940.140000001</v>
      </c>
      <c r="P3" s="461">
        <f>P4+P41</f>
        <v>1561982178.1499689</v>
      </c>
      <c r="Q3" s="459">
        <f t="shared" ref="Q3:AG3" si="1">Q4+Q41</f>
        <v>508579653.40999997</v>
      </c>
      <c r="R3" s="460">
        <f t="shared" si="1"/>
        <v>461189202.212255</v>
      </c>
      <c r="S3" s="460">
        <f t="shared" si="1"/>
        <v>3746348545.5461302</v>
      </c>
      <c r="T3" s="460">
        <f t="shared" si="1"/>
        <v>1245820239.1213918</v>
      </c>
      <c r="U3" s="461">
        <f t="shared" si="1"/>
        <v>5961937640.2897768</v>
      </c>
      <c r="V3" s="459">
        <f t="shared" si="1"/>
        <v>82484604.969999999</v>
      </c>
      <c r="W3" s="460">
        <f t="shared" si="1"/>
        <v>142273259.04053491</v>
      </c>
      <c r="X3" s="460">
        <f t="shared" si="1"/>
        <v>117988102.18799996</v>
      </c>
      <c r="Y3" s="460">
        <f t="shared" si="1"/>
        <v>419244357.60000002</v>
      </c>
      <c r="Z3" s="461">
        <f t="shared" si="1"/>
        <v>1069297323.7985349</v>
      </c>
      <c r="AA3" s="459">
        <f t="shared" si="1"/>
        <v>81908582.090671033</v>
      </c>
      <c r="AB3" s="460">
        <f t="shared" si="1"/>
        <v>4615031.2200000007</v>
      </c>
      <c r="AC3" s="460">
        <f t="shared" si="1"/>
        <v>221377.4</v>
      </c>
      <c r="AD3" s="460">
        <f t="shared" si="1"/>
        <v>1179156</v>
      </c>
      <c r="AE3" s="461">
        <f t="shared" si="1"/>
        <v>87924146.710671037</v>
      </c>
      <c r="AF3" s="459">
        <f t="shared" si="1"/>
        <v>1338133.0000547301</v>
      </c>
      <c r="AG3" s="460">
        <f t="shared" si="1"/>
        <v>8887036.0007662233</v>
      </c>
      <c r="AH3" s="460">
        <f>AO3+AP3</f>
        <v>13260001.76</v>
      </c>
      <c r="AI3" s="460">
        <f>AI4+AI41</f>
        <v>7870598.2200000007</v>
      </c>
      <c r="AJ3" s="460"/>
      <c r="AK3" s="460">
        <f>AK4+AK41</f>
        <v>2327715.4794761529</v>
      </c>
      <c r="AL3" s="460">
        <f>AL4+AL41</f>
        <v>2884306.2259265049</v>
      </c>
      <c r="AM3" s="460">
        <f>AN3+AQ3</f>
        <v>7453875.7232056297</v>
      </c>
      <c r="AN3" s="460">
        <f>AN4+AN41</f>
        <v>2836673.42</v>
      </c>
      <c r="AO3" s="460">
        <f>AO4+AO41</f>
        <v>11622528.84</v>
      </c>
      <c r="AP3" s="460">
        <f>AP4+AP41</f>
        <v>1637472.92</v>
      </c>
      <c r="AQ3" s="460">
        <f>AQ4+AQ41</f>
        <v>4617202.3032056298</v>
      </c>
      <c r="AR3" s="461">
        <f>AR4+AR41</f>
        <v>44975970.909429245</v>
      </c>
    </row>
    <row r="4" spans="1:44" x14ac:dyDescent="0.2">
      <c r="A4" s="357" t="s">
        <v>418</v>
      </c>
      <c r="B4" s="462">
        <f>SUM(B5,B9,B15,B20,B29,B31,B35,B37,B39)</f>
        <v>85348461.648691982</v>
      </c>
      <c r="C4" s="462">
        <f>SUM(C5,C9,C15,C20,C29,C31,C35,C37,C39)</f>
        <v>863332114.15697324</v>
      </c>
      <c r="D4" s="488">
        <f t="shared" ref="D4:D48" si="2">P4+U4+Z4+AE4+AR4</f>
        <v>7149483088.4383821</v>
      </c>
      <c r="E4" s="489">
        <f t="shared" ref="E4:E48" si="3">P4+Q4+R4+S4+Z4+AE4+AR4</f>
        <v>6291748993.6769896</v>
      </c>
      <c r="F4" s="463">
        <f t="shared" si="0"/>
        <v>948680575.80566525</v>
      </c>
      <c r="G4" s="464">
        <f>SUM(G5,G9,G15,G20,G29,G31,G35,G37,G39)</f>
        <v>19329322.663439639</v>
      </c>
      <c r="H4" s="464">
        <f>SUM(H5,H9,H15,H20,H29,H31,H35,H37,H39)</f>
        <v>209413033.07759947</v>
      </c>
      <c r="I4" s="465">
        <f t="shared" ref="I4:I47" si="4">SUM(G4:H4)</f>
        <v>228742355.7410391</v>
      </c>
      <c r="J4" s="464">
        <f>SUM(J5,J9,J15,J20,J29,J31,J35,J37,J39)</f>
        <v>23074625.173124999</v>
      </c>
      <c r="K4" s="464">
        <f>SUM(K5,K9,K15,K20,K29,K31,K35,K37,K39)</f>
        <v>227470681.29013938</v>
      </c>
      <c r="L4" s="465">
        <f t="shared" ref="L4:L47" si="5">SUM(J4:K4)</f>
        <v>250545306.46326438</v>
      </c>
      <c r="M4" s="464">
        <f>SUM(M5,M9,M15,M20,M29,M31,M35,M37,M39)</f>
        <v>10225741</v>
      </c>
      <c r="N4" s="464">
        <f>SUM(N5,N9,N15,N20,N29,N31,N35,N37,N39)</f>
        <v>56890199.140000001</v>
      </c>
      <c r="O4" s="465">
        <f t="shared" ref="O4:O47" si="6">SUM(M4:N4)</f>
        <v>67115940.140000001</v>
      </c>
      <c r="P4" s="466">
        <f>F4+I4+L4+O4</f>
        <v>1495084178.1499689</v>
      </c>
      <c r="Q4" s="467">
        <f>SUM(Q5,Q9,Q15,Q20,Q29,Q31,Q35,Q37,Q39)</f>
        <v>508579653.40999997</v>
      </c>
      <c r="R4" s="464">
        <f>SUM(R5,R9,R15,R20,R29,R31,R35,R37,R39)</f>
        <v>461189202.212255</v>
      </c>
      <c r="S4" s="464">
        <f>SUM(S5,S9,S15,S20,S29,S31,S35,S37,S39)</f>
        <v>2939823346.0861301</v>
      </c>
      <c r="T4" s="464">
        <f>SUM(T5,T9,T15,T20,T29,T31,T35,T37,T39)</f>
        <v>857734094.76139188</v>
      </c>
      <c r="U4" s="466">
        <f t="shared" ref="U4:U40" si="7">SUM(Q4:T4)</f>
        <v>4767326296.4697771</v>
      </c>
      <c r="V4" s="467">
        <f>SUM(V5,V9,V15,V20,V29,V31,V35,V37,V39)</f>
        <v>82484604.969999999</v>
      </c>
      <c r="W4" s="464">
        <f>SUM(W5,W9,W15,W20,W29,W31,W35,W37,W39)</f>
        <v>142273259.04053491</v>
      </c>
      <c r="X4" s="464">
        <f>SUM(X5,X9,X15,X20,X29,X31,X35,X37,X39)</f>
        <v>117988102.18799996</v>
      </c>
      <c r="Y4" s="464">
        <f>SUM(Y5,Y9,Y15,Y20,Y29,Y31,Y35,Y37,Y39)</f>
        <v>419244357.60000002</v>
      </c>
      <c r="Z4" s="466">
        <f t="shared" ref="Z4:Z40" si="8">SUM(V4:Y4)</f>
        <v>761990323.79853487</v>
      </c>
      <c r="AA4" s="467">
        <f>SUM(AA5,AA9,AA15,AA20,AA29,AA31,AA35,AA37,AA39)</f>
        <v>81908582.090671033</v>
      </c>
      <c r="AB4" s="464">
        <f>SUM(AB5,AB9,AB15,AB20,AB29,AB31,AB35,AB37,AB39)</f>
        <v>4615031.2200000007</v>
      </c>
      <c r="AC4" s="464">
        <f>SUM(AC5,AC9,AC15,AC20,AC29,AC31,AC35,AC37,AC39)</f>
        <v>221377.4</v>
      </c>
      <c r="AD4" s="464">
        <f>SUM(AD5,AD9,AD15,AD20,AD29,AD31,AD35,AD37,AD39)</f>
        <v>1179156</v>
      </c>
      <c r="AE4" s="466">
        <f t="shared" ref="AE4:AE40" si="9">SUM(AA4:AD4)</f>
        <v>87924146.710671037</v>
      </c>
      <c r="AF4" s="467">
        <f>SUM(AF5,AF9,AF15,AF20,AF29,AF31,AF35,AF37,AF39)</f>
        <v>568278.20005473017</v>
      </c>
      <c r="AG4" s="464">
        <f>SUM(AG5,AG9,AG15,AG20,AG29,AG31,AG35,AG37,AG39)</f>
        <v>7705576.7007662235</v>
      </c>
      <c r="AH4" s="465">
        <f t="shared" ref="AH4:AH48" si="10">AO4+AP4</f>
        <v>9232986.4600000009</v>
      </c>
      <c r="AI4" s="464">
        <f>SUM(AI5,AI9,AI15,AI20,AI29,AI31,AI35,AI37,AI39)</f>
        <v>6985404.5200000005</v>
      </c>
      <c r="AJ4" s="464"/>
      <c r="AK4" s="464">
        <f>SUM(AK5,AK9,AK15,AK20,AK29,AK31,AK35,AK37,AK39)</f>
        <v>2327715.4794761529</v>
      </c>
      <c r="AL4" s="464">
        <f>SUM(AL5,AL9,AL15,AL20,AL29,AL31,AL35,AL37,AL39)</f>
        <v>2884306.2259265049</v>
      </c>
      <c r="AM4" s="465">
        <f t="shared" ref="AM4:AM48" si="11">AN4+AQ4</f>
        <v>7453875.7232056297</v>
      </c>
      <c r="AN4" s="464">
        <f>SUM(AN5,AN9,AN15,AN20,AN29,AN31,AN35,AN37,AN39)</f>
        <v>2836673.42</v>
      </c>
      <c r="AO4" s="464">
        <f>SUM(AO5,AO9,AO15,AO20,AO29,AO31,AO35,AO37,AO39)</f>
        <v>7595513.54</v>
      </c>
      <c r="AP4" s="464">
        <f>SUM(AP5,AP9,AP15,AP20,AP29,AP31,AP35,AP37,AP39)</f>
        <v>1637472.92</v>
      </c>
      <c r="AQ4" s="464">
        <f>SUM(AQ5,AQ9,AQ15,AQ20,AQ29,AQ31,AQ35,AQ37,AQ39)</f>
        <v>4617202.3032056298</v>
      </c>
      <c r="AR4" s="466">
        <f>SUM(AF4:AM4)</f>
        <v>37158143.309429243</v>
      </c>
    </row>
    <row r="5" spans="1:44" x14ac:dyDescent="0.2">
      <c r="A5" s="473" t="s">
        <v>419</v>
      </c>
      <c r="B5" s="474">
        <f>SUM(B6:B8)</f>
        <v>5312180</v>
      </c>
      <c r="C5" s="474">
        <f>SUM(C6:C8)</f>
        <v>55392247</v>
      </c>
      <c r="D5" s="490">
        <f>P5+U5+Z5+AE5+AR5</f>
        <v>785410930</v>
      </c>
      <c r="E5" s="491">
        <f t="shared" si="3"/>
        <v>737130844</v>
      </c>
      <c r="F5" s="475">
        <f>SUM(B5:C5)</f>
        <v>60704427</v>
      </c>
      <c r="G5" s="476">
        <f>SUM(G6:G8)</f>
        <v>448550</v>
      </c>
      <c r="H5" s="476">
        <f>SUM(H6:H8)</f>
        <v>5617403</v>
      </c>
      <c r="I5" s="477">
        <f t="shared" si="4"/>
        <v>6065953</v>
      </c>
      <c r="J5" s="476">
        <f>SUM(J6:J8)</f>
        <v>652376</v>
      </c>
      <c r="K5" s="476">
        <f>SUM(K6:K8)</f>
        <v>9572710</v>
      </c>
      <c r="L5" s="477">
        <f t="shared" si="5"/>
        <v>10225086</v>
      </c>
      <c r="M5" s="476">
        <f>SUM(M6:M8)</f>
        <v>1354748</v>
      </c>
      <c r="N5" s="476">
        <f>SUM(N6:N8)</f>
        <v>17755510</v>
      </c>
      <c r="O5" s="477">
        <f t="shared" si="6"/>
        <v>19110258</v>
      </c>
      <c r="P5" s="478">
        <f>F5+I5+L5+O5</f>
        <v>96105724</v>
      </c>
      <c r="Q5" s="479">
        <f>SUM(Q6:Q8)</f>
        <v>8770419</v>
      </c>
      <c r="R5" s="476">
        <f>SUM(R6:R8)</f>
        <v>227259222</v>
      </c>
      <c r="S5" s="476">
        <f>SUM(S6:S8)</f>
        <v>280547724</v>
      </c>
      <c r="T5" s="476">
        <f>SUM(T6:T8)</f>
        <v>48280086</v>
      </c>
      <c r="U5" s="478">
        <f t="shared" si="7"/>
        <v>564857451</v>
      </c>
      <c r="V5" s="479">
        <f>SUM(V6:V8)</f>
        <v>27330220</v>
      </c>
      <c r="W5" s="476">
        <f>SUM(W6:W8)</f>
        <v>23499565</v>
      </c>
      <c r="X5" s="476">
        <f>SUM(X6:X8)</f>
        <v>15330167</v>
      </c>
      <c r="Y5" s="476">
        <f>SUM(Y6:Y8)</f>
        <v>56763780</v>
      </c>
      <c r="Z5" s="478">
        <f t="shared" si="8"/>
        <v>122923732</v>
      </c>
      <c r="AA5" s="479">
        <f>SUM(AA6:AA8)</f>
        <v>613241</v>
      </c>
      <c r="AB5" s="476">
        <f>SUM(AB6:AB8)</f>
        <v>0</v>
      </c>
      <c r="AC5" s="476">
        <f>SUM(AC6:AC8)</f>
        <v>0</v>
      </c>
      <c r="AD5" s="476">
        <f>SUM(AD6:AD8)</f>
        <v>0</v>
      </c>
      <c r="AE5" s="478">
        <f t="shared" si="9"/>
        <v>613241</v>
      </c>
      <c r="AF5" s="479">
        <f>SUM(AF6:AF8)</f>
        <v>0</v>
      </c>
      <c r="AG5" s="476">
        <f>SUM(AG6:AG8)</f>
        <v>34103</v>
      </c>
      <c r="AH5" s="477">
        <f t="shared" si="10"/>
        <v>301080</v>
      </c>
      <c r="AI5" s="476">
        <f>SUM(AI6:AI8)</f>
        <v>58116</v>
      </c>
      <c r="AJ5" s="476"/>
      <c r="AK5" s="476">
        <f>SUM(AK6:AK8)</f>
        <v>0</v>
      </c>
      <c r="AL5" s="476">
        <f>SUM(AL6:AL8)</f>
        <v>47517</v>
      </c>
      <c r="AM5" s="477">
        <f t="shared" si="11"/>
        <v>469966</v>
      </c>
      <c r="AN5" s="476">
        <f>SUM(AN6:AN8)</f>
        <v>16954</v>
      </c>
      <c r="AO5" s="476">
        <f>SUM(AO6:AO8)</f>
        <v>284126</v>
      </c>
      <c r="AP5" s="476">
        <f>SUM(AP6:AP8)</f>
        <v>16954</v>
      </c>
      <c r="AQ5" s="476">
        <f>SUM(AQ6:AQ8)</f>
        <v>453012</v>
      </c>
      <c r="AR5" s="478">
        <f t="shared" ref="AR5:AR48" si="12">SUM(AF5:AM5)</f>
        <v>910782</v>
      </c>
    </row>
    <row r="6" spans="1:44" x14ac:dyDescent="0.2">
      <c r="A6" s="355" t="s">
        <v>420</v>
      </c>
      <c r="B6" s="446">
        <v>3532131</v>
      </c>
      <c r="C6" s="446">
        <v>48230670</v>
      </c>
      <c r="D6" s="492">
        <f>P6+U6+Z6+AE6+AR6</f>
        <v>728926542</v>
      </c>
      <c r="E6" s="493">
        <f t="shared" si="3"/>
        <v>683145925</v>
      </c>
      <c r="F6" s="452">
        <f t="shared" si="0"/>
        <v>51762801</v>
      </c>
      <c r="G6" s="449">
        <v>223013</v>
      </c>
      <c r="H6" s="449">
        <v>5537781</v>
      </c>
      <c r="I6" s="448">
        <f t="shared" si="4"/>
        <v>5760794</v>
      </c>
      <c r="J6" s="449">
        <v>87156</v>
      </c>
      <c r="K6" s="449">
        <v>8106503</v>
      </c>
      <c r="L6" s="448">
        <f t="shared" si="5"/>
        <v>8193659</v>
      </c>
      <c r="M6" s="449">
        <v>1008200</v>
      </c>
      <c r="N6" s="449">
        <v>16567811</v>
      </c>
      <c r="O6" s="448">
        <f t="shared" si="6"/>
        <v>17576011</v>
      </c>
      <c r="P6" s="453">
        <f t="shared" ref="P6:P40" si="13">F6+I6+L6+O6</f>
        <v>83293265</v>
      </c>
      <c r="Q6" s="456">
        <v>8350427</v>
      </c>
      <c r="R6" s="449">
        <v>197838696</v>
      </c>
      <c r="S6" s="449">
        <v>271606683</v>
      </c>
      <c r="T6" s="449">
        <v>45780617</v>
      </c>
      <c r="U6" s="453">
        <f t="shared" si="7"/>
        <v>523576423</v>
      </c>
      <c r="V6" s="456">
        <v>27330220</v>
      </c>
      <c r="W6" s="449">
        <v>23499565</v>
      </c>
      <c r="X6" s="449">
        <v>14551890</v>
      </c>
      <c r="Y6" s="449">
        <v>55825780</v>
      </c>
      <c r="Z6" s="453">
        <f t="shared" si="8"/>
        <v>121207455</v>
      </c>
      <c r="AA6" s="456">
        <v>0</v>
      </c>
      <c r="AB6" s="449">
        <v>0</v>
      </c>
      <c r="AC6" s="449">
        <v>0</v>
      </c>
      <c r="AD6" s="449">
        <v>0</v>
      </c>
      <c r="AE6" s="453">
        <f t="shared" si="9"/>
        <v>0</v>
      </c>
      <c r="AF6" s="456">
        <v>0</v>
      </c>
      <c r="AG6" s="449">
        <v>34103</v>
      </c>
      <c r="AH6" s="448">
        <f t="shared" si="10"/>
        <v>301080</v>
      </c>
      <c r="AI6" s="449">
        <v>0</v>
      </c>
      <c r="AJ6" s="449"/>
      <c r="AK6" s="449">
        <v>0</v>
      </c>
      <c r="AL6" s="449">
        <v>44250</v>
      </c>
      <c r="AM6" s="448">
        <f t="shared" si="11"/>
        <v>469966</v>
      </c>
      <c r="AN6" s="449">
        <v>16954</v>
      </c>
      <c r="AO6" s="449">
        <v>284126</v>
      </c>
      <c r="AP6" s="449">
        <v>16954</v>
      </c>
      <c r="AQ6" s="449">
        <v>453012</v>
      </c>
      <c r="AR6" s="453">
        <f t="shared" si="12"/>
        <v>849399</v>
      </c>
    </row>
    <row r="7" spans="1:44" x14ac:dyDescent="0.2">
      <c r="A7" s="355" t="s">
        <v>421</v>
      </c>
      <c r="B7" s="446">
        <v>1780049</v>
      </c>
      <c r="C7" s="446">
        <v>6852425</v>
      </c>
      <c r="D7" s="492">
        <f t="shared" si="2"/>
        <v>46648866</v>
      </c>
      <c r="E7" s="493">
        <f t="shared" si="3"/>
        <v>44340146</v>
      </c>
      <c r="F7" s="452">
        <f t="shared" si="0"/>
        <v>8632474</v>
      </c>
      <c r="G7" s="449">
        <v>225537</v>
      </c>
      <c r="H7" s="449">
        <v>79622</v>
      </c>
      <c r="I7" s="448">
        <f t="shared" si="4"/>
        <v>305159</v>
      </c>
      <c r="J7" s="449">
        <v>565220</v>
      </c>
      <c r="K7" s="449">
        <v>1382892</v>
      </c>
      <c r="L7" s="448">
        <f t="shared" si="5"/>
        <v>1948112</v>
      </c>
      <c r="M7" s="449">
        <v>346548</v>
      </c>
      <c r="N7" s="449">
        <v>1113250</v>
      </c>
      <c r="O7" s="448">
        <f t="shared" si="6"/>
        <v>1459798</v>
      </c>
      <c r="P7" s="453">
        <f t="shared" si="13"/>
        <v>12345543</v>
      </c>
      <c r="Q7" s="456">
        <v>266192</v>
      </c>
      <c r="R7" s="449">
        <v>21807407</v>
      </c>
      <c r="S7" s="449">
        <v>7634686</v>
      </c>
      <c r="T7" s="449">
        <v>2308720</v>
      </c>
      <c r="U7" s="453">
        <f>SUM(Q7:T7)</f>
        <v>32017005</v>
      </c>
      <c r="V7" s="456">
        <v>0</v>
      </c>
      <c r="W7" s="449">
        <v>0</v>
      </c>
      <c r="X7" s="449">
        <v>673694</v>
      </c>
      <c r="Y7" s="449">
        <v>938000</v>
      </c>
      <c r="Z7" s="453">
        <f>SUM(V7:Y7)</f>
        <v>1611694</v>
      </c>
      <c r="AA7" s="456">
        <v>613241</v>
      </c>
      <c r="AB7" s="449">
        <v>0</v>
      </c>
      <c r="AC7" s="449">
        <v>0</v>
      </c>
      <c r="AD7" s="449">
        <v>0</v>
      </c>
      <c r="AE7" s="453">
        <f>SUM(AA7:AD7)</f>
        <v>613241</v>
      </c>
      <c r="AF7" s="456">
        <v>0</v>
      </c>
      <c r="AG7" s="449">
        <v>0</v>
      </c>
      <c r="AH7" s="448">
        <f t="shared" si="10"/>
        <v>0</v>
      </c>
      <c r="AI7" s="449">
        <v>58116</v>
      </c>
      <c r="AJ7" s="449"/>
      <c r="AK7" s="449">
        <v>0</v>
      </c>
      <c r="AL7" s="449">
        <v>3267</v>
      </c>
      <c r="AM7" s="448">
        <f t="shared" si="11"/>
        <v>0</v>
      </c>
      <c r="AN7" s="449">
        <v>0</v>
      </c>
      <c r="AO7" s="449">
        <v>0</v>
      </c>
      <c r="AP7" s="449">
        <v>0</v>
      </c>
      <c r="AQ7" s="449">
        <v>0</v>
      </c>
      <c r="AR7" s="453">
        <f t="shared" si="12"/>
        <v>61383</v>
      </c>
    </row>
    <row r="8" spans="1:44" x14ac:dyDescent="0.2">
      <c r="A8" s="355" t="s">
        <v>422</v>
      </c>
      <c r="B8" s="446">
        <v>0</v>
      </c>
      <c r="C8" s="446">
        <v>309152</v>
      </c>
      <c r="D8" s="492">
        <f t="shared" si="2"/>
        <v>9835522</v>
      </c>
      <c r="E8" s="493">
        <f t="shared" si="3"/>
        <v>9644773</v>
      </c>
      <c r="F8" s="452">
        <f t="shared" si="0"/>
        <v>309152</v>
      </c>
      <c r="G8" s="449">
        <v>0</v>
      </c>
      <c r="H8" s="449">
        <v>0</v>
      </c>
      <c r="I8" s="448">
        <f t="shared" si="4"/>
        <v>0</v>
      </c>
      <c r="J8" s="449">
        <v>0</v>
      </c>
      <c r="K8" s="449">
        <v>83315</v>
      </c>
      <c r="L8" s="448">
        <f t="shared" si="5"/>
        <v>83315</v>
      </c>
      <c r="M8" s="449">
        <v>0</v>
      </c>
      <c r="N8" s="449">
        <v>74449</v>
      </c>
      <c r="O8" s="448">
        <f t="shared" si="6"/>
        <v>74449</v>
      </c>
      <c r="P8" s="453">
        <f t="shared" si="13"/>
        <v>466916</v>
      </c>
      <c r="Q8" s="456">
        <v>153800</v>
      </c>
      <c r="R8" s="449">
        <v>7613119</v>
      </c>
      <c r="S8" s="449">
        <v>1306355</v>
      </c>
      <c r="T8" s="449">
        <v>190749</v>
      </c>
      <c r="U8" s="453">
        <f t="shared" si="7"/>
        <v>9264023</v>
      </c>
      <c r="V8" s="456">
        <v>0</v>
      </c>
      <c r="W8" s="449">
        <v>0</v>
      </c>
      <c r="X8" s="449">
        <v>104583</v>
      </c>
      <c r="Y8" s="449">
        <v>0</v>
      </c>
      <c r="Z8" s="453">
        <f t="shared" si="8"/>
        <v>104583</v>
      </c>
      <c r="AA8" s="456">
        <v>0</v>
      </c>
      <c r="AB8" s="449">
        <v>0</v>
      </c>
      <c r="AC8" s="449">
        <v>0</v>
      </c>
      <c r="AD8" s="449">
        <v>0</v>
      </c>
      <c r="AE8" s="453">
        <f t="shared" si="9"/>
        <v>0</v>
      </c>
      <c r="AF8" s="456"/>
      <c r="AG8" s="449"/>
      <c r="AH8" s="448">
        <f t="shared" si="10"/>
        <v>0</v>
      </c>
      <c r="AI8" s="449"/>
      <c r="AJ8" s="449"/>
      <c r="AK8" s="449"/>
      <c r="AL8" s="449"/>
      <c r="AM8" s="448">
        <f t="shared" si="11"/>
        <v>0</v>
      </c>
      <c r="AN8" s="449"/>
      <c r="AO8" s="449"/>
      <c r="AP8" s="449"/>
      <c r="AQ8" s="449"/>
      <c r="AR8" s="453">
        <f t="shared" si="12"/>
        <v>0</v>
      </c>
    </row>
    <row r="9" spans="1:44" x14ac:dyDescent="0.2">
      <c r="A9" s="473" t="s">
        <v>423</v>
      </c>
      <c r="B9" s="474">
        <f>SUM(B10:B14)</f>
        <v>3935955</v>
      </c>
      <c r="C9" s="474">
        <f>SUM(C10:C14)</f>
        <v>32956263.824615385</v>
      </c>
      <c r="D9" s="490">
        <f t="shared" si="2"/>
        <v>198280960.89280668</v>
      </c>
      <c r="E9" s="491">
        <f t="shared" si="3"/>
        <v>198254935.89280668</v>
      </c>
      <c r="F9" s="475">
        <f t="shared" si="0"/>
        <v>36892218.824615389</v>
      </c>
      <c r="G9" s="476">
        <f>SUM(G10:G14)</f>
        <v>46590</v>
      </c>
      <c r="H9" s="476">
        <f>SUM(H10:H14)</f>
        <v>998218.945114373</v>
      </c>
      <c r="I9" s="477">
        <f t="shared" si="4"/>
        <v>1044808.945114373</v>
      </c>
      <c r="J9" s="476">
        <f>SUM(J10:J14)</f>
        <v>1025411</v>
      </c>
      <c r="K9" s="476">
        <f>SUM(K10:K14)</f>
        <v>4763953.1230769232</v>
      </c>
      <c r="L9" s="477">
        <f t="shared" si="5"/>
        <v>5789364.1230769232</v>
      </c>
      <c r="M9" s="476">
        <f>SUM(M10:M14)</f>
        <v>0</v>
      </c>
      <c r="N9" s="476">
        <f>SUM(N10:N14)</f>
        <v>0</v>
      </c>
      <c r="O9" s="477">
        <f t="shared" si="6"/>
        <v>0</v>
      </c>
      <c r="P9" s="478">
        <f t="shared" si="13"/>
        <v>43726391.892806686</v>
      </c>
      <c r="Q9" s="479">
        <f>SUM(Q10:Q14)</f>
        <v>9925679</v>
      </c>
      <c r="R9" s="476">
        <f>SUM(R10:R14)</f>
        <v>9284146</v>
      </c>
      <c r="S9" s="476">
        <f>SUM(S10:S14)</f>
        <v>119932594</v>
      </c>
      <c r="T9" s="476">
        <f>SUM(T10:T14)</f>
        <v>26025</v>
      </c>
      <c r="U9" s="478">
        <f t="shared" si="7"/>
        <v>139168444</v>
      </c>
      <c r="V9" s="479">
        <f>SUM(V10:V14)</f>
        <v>0</v>
      </c>
      <c r="W9" s="476">
        <f>SUM(W10:W14)</f>
        <v>0</v>
      </c>
      <c r="X9" s="476">
        <f>SUM(X10:X14)</f>
        <v>6641103</v>
      </c>
      <c r="Y9" s="476">
        <f>SUM(Y10:Y14)</f>
        <v>1017250</v>
      </c>
      <c r="Z9" s="478">
        <f t="shared" si="8"/>
        <v>7658353</v>
      </c>
      <c r="AA9" s="479">
        <f>SUM(AA10:AA14)</f>
        <v>0</v>
      </c>
      <c r="AB9" s="476">
        <f>SUM(AB10:AB14)</f>
        <v>2313</v>
      </c>
      <c r="AC9" s="476">
        <f>SUM(AC10:AC14)</f>
        <v>9853</v>
      </c>
      <c r="AD9" s="476">
        <f>SUM(AD10:AD14)</f>
        <v>0</v>
      </c>
      <c r="AE9" s="478">
        <f t="shared" si="9"/>
        <v>12166</v>
      </c>
      <c r="AF9" s="479">
        <f>SUM(AF10:AF14)</f>
        <v>110</v>
      </c>
      <c r="AG9" s="476">
        <f>SUM(AG10:AG14)</f>
        <v>7510</v>
      </c>
      <c r="AH9" s="477">
        <f t="shared" si="10"/>
        <v>0</v>
      </c>
      <c r="AI9" s="476">
        <f>SUM(AI10:AI14)</f>
        <v>5336986</v>
      </c>
      <c r="AJ9" s="476"/>
      <c r="AK9" s="476">
        <f>SUM(AK10:AK14)</f>
        <v>0</v>
      </c>
      <c r="AL9" s="476">
        <f>SUM(AL10:AL14)</f>
        <v>21000</v>
      </c>
      <c r="AM9" s="477">
        <f t="shared" si="11"/>
        <v>2350000</v>
      </c>
      <c r="AN9" s="476">
        <f>SUM(AN10:AN14)</f>
        <v>0</v>
      </c>
      <c r="AO9" s="476">
        <f>SUM(AO10:AO14)</f>
        <v>0</v>
      </c>
      <c r="AP9" s="476">
        <f>SUM(AP10:AP14)</f>
        <v>0</v>
      </c>
      <c r="AQ9" s="476">
        <f>SUM(AQ10:AQ14)</f>
        <v>2350000</v>
      </c>
      <c r="AR9" s="478">
        <f t="shared" si="12"/>
        <v>7715606</v>
      </c>
    </row>
    <row r="10" spans="1:44" x14ac:dyDescent="0.2">
      <c r="A10" s="355" t="s">
        <v>424</v>
      </c>
      <c r="B10" s="446">
        <v>0</v>
      </c>
      <c r="C10" s="446">
        <v>11945664</v>
      </c>
      <c r="D10" s="492">
        <f t="shared" si="2"/>
        <v>116079688</v>
      </c>
      <c r="E10" s="493">
        <f t="shared" si="3"/>
        <v>116053663</v>
      </c>
      <c r="F10" s="452">
        <f t="shared" si="0"/>
        <v>11945664</v>
      </c>
      <c r="G10" s="449">
        <v>0</v>
      </c>
      <c r="H10" s="449">
        <v>180045</v>
      </c>
      <c r="I10" s="448">
        <f t="shared" si="4"/>
        <v>180045</v>
      </c>
      <c r="J10" s="449">
        <v>0</v>
      </c>
      <c r="K10" s="449">
        <v>1088139</v>
      </c>
      <c r="L10" s="448">
        <f t="shared" si="5"/>
        <v>1088139</v>
      </c>
      <c r="M10" s="449">
        <v>0</v>
      </c>
      <c r="N10" s="449">
        <v>0</v>
      </c>
      <c r="O10" s="448">
        <f t="shared" si="6"/>
        <v>0</v>
      </c>
      <c r="P10" s="453">
        <f t="shared" si="13"/>
        <v>13213848</v>
      </c>
      <c r="Q10" s="456">
        <v>9420662</v>
      </c>
      <c r="R10" s="449">
        <v>1141381</v>
      </c>
      <c r="S10" s="449">
        <v>84735334</v>
      </c>
      <c r="T10" s="449">
        <v>26025</v>
      </c>
      <c r="U10" s="453">
        <f t="shared" si="7"/>
        <v>95323402</v>
      </c>
      <c r="V10" s="456"/>
      <c r="W10" s="449"/>
      <c r="X10" s="449">
        <v>2120712</v>
      </c>
      <c r="Y10" s="449">
        <v>68064</v>
      </c>
      <c r="Z10" s="453">
        <f t="shared" si="8"/>
        <v>2188776</v>
      </c>
      <c r="AA10" s="456"/>
      <c r="AB10" s="449">
        <v>2313</v>
      </c>
      <c r="AC10" s="449">
        <v>9853</v>
      </c>
      <c r="AD10" s="449"/>
      <c r="AE10" s="453">
        <f t="shared" si="9"/>
        <v>12166</v>
      </c>
      <c r="AF10" s="456"/>
      <c r="AG10" s="449">
        <v>4510</v>
      </c>
      <c r="AH10" s="448">
        <f t="shared" si="10"/>
        <v>0</v>
      </c>
      <c r="AI10" s="449">
        <v>5336986</v>
      </c>
      <c r="AJ10" s="449"/>
      <c r="AK10" s="449"/>
      <c r="AL10" s="449"/>
      <c r="AM10" s="448">
        <f t="shared" si="11"/>
        <v>0</v>
      </c>
      <c r="AN10" s="449"/>
      <c r="AO10" s="449"/>
      <c r="AP10" s="449"/>
      <c r="AQ10" s="449"/>
      <c r="AR10" s="453">
        <f t="shared" si="12"/>
        <v>5341496</v>
      </c>
    </row>
    <row r="11" spans="1:44" x14ac:dyDescent="0.2">
      <c r="A11" s="355" t="s">
        <v>425</v>
      </c>
      <c r="B11" s="446">
        <v>0</v>
      </c>
      <c r="C11" s="446">
        <v>1667390</v>
      </c>
      <c r="D11" s="492">
        <f t="shared" si="2"/>
        <v>23506622</v>
      </c>
      <c r="E11" s="493">
        <f t="shared" si="3"/>
        <v>23506622</v>
      </c>
      <c r="F11" s="452">
        <f t="shared" si="0"/>
        <v>1667390</v>
      </c>
      <c r="G11" s="449">
        <v>0</v>
      </c>
      <c r="H11" s="449">
        <v>12106</v>
      </c>
      <c r="I11" s="448">
        <f t="shared" si="4"/>
        <v>12106</v>
      </c>
      <c r="J11" s="449">
        <v>0</v>
      </c>
      <c r="K11" s="449">
        <v>147422</v>
      </c>
      <c r="L11" s="448">
        <f t="shared" si="5"/>
        <v>147422</v>
      </c>
      <c r="M11" s="449">
        <v>0</v>
      </c>
      <c r="N11" s="449">
        <v>0</v>
      </c>
      <c r="O11" s="448">
        <f t="shared" si="6"/>
        <v>0</v>
      </c>
      <c r="P11" s="453">
        <f t="shared" si="13"/>
        <v>1826918</v>
      </c>
      <c r="Q11" s="456">
        <v>240024</v>
      </c>
      <c r="R11" s="449">
        <v>7408674</v>
      </c>
      <c r="S11" s="449">
        <v>11254826</v>
      </c>
      <c r="T11" s="449">
        <v>0</v>
      </c>
      <c r="U11" s="453">
        <f t="shared" si="7"/>
        <v>18903524</v>
      </c>
      <c r="V11" s="456"/>
      <c r="W11" s="449"/>
      <c r="X11" s="449">
        <v>397692</v>
      </c>
      <c r="Y11" s="449">
        <v>4378</v>
      </c>
      <c r="Z11" s="453">
        <f t="shared" si="8"/>
        <v>402070</v>
      </c>
      <c r="AA11" s="456"/>
      <c r="AB11" s="449"/>
      <c r="AC11" s="449"/>
      <c r="AD11" s="449"/>
      <c r="AE11" s="453">
        <f t="shared" si="9"/>
        <v>0</v>
      </c>
      <c r="AF11" s="456">
        <v>110</v>
      </c>
      <c r="AG11" s="449">
        <v>3000</v>
      </c>
      <c r="AH11" s="448">
        <f t="shared" si="10"/>
        <v>0</v>
      </c>
      <c r="AI11" s="449"/>
      <c r="AJ11" s="449"/>
      <c r="AK11" s="449"/>
      <c r="AL11" s="449">
        <v>21000</v>
      </c>
      <c r="AM11" s="448">
        <f t="shared" si="11"/>
        <v>2350000</v>
      </c>
      <c r="AN11" s="449"/>
      <c r="AO11" s="449"/>
      <c r="AP11" s="449"/>
      <c r="AQ11" s="449">
        <v>2350000</v>
      </c>
      <c r="AR11" s="453">
        <f t="shared" si="12"/>
        <v>2374110</v>
      </c>
    </row>
    <row r="12" spans="1:44" x14ac:dyDescent="0.2">
      <c r="A12" s="355" t="s">
        <v>426</v>
      </c>
      <c r="B12" s="446">
        <v>3935955</v>
      </c>
      <c r="C12" s="446">
        <v>14354350</v>
      </c>
      <c r="D12" s="492">
        <f t="shared" si="2"/>
        <v>26400692</v>
      </c>
      <c r="E12" s="493">
        <f t="shared" si="3"/>
        <v>26400692</v>
      </c>
      <c r="F12" s="452">
        <f t="shared" si="0"/>
        <v>18290305</v>
      </c>
      <c r="G12" s="449">
        <v>46590</v>
      </c>
      <c r="H12" s="449">
        <v>470740</v>
      </c>
      <c r="I12" s="448">
        <f t="shared" si="4"/>
        <v>517330</v>
      </c>
      <c r="J12" s="449">
        <v>1025411</v>
      </c>
      <c r="K12" s="449">
        <v>2673877</v>
      </c>
      <c r="L12" s="448">
        <f t="shared" si="5"/>
        <v>3699288</v>
      </c>
      <c r="M12" s="449">
        <v>0</v>
      </c>
      <c r="N12" s="449">
        <v>0</v>
      </c>
      <c r="O12" s="448">
        <f t="shared" si="6"/>
        <v>0</v>
      </c>
      <c r="P12" s="453">
        <f t="shared" si="13"/>
        <v>22506923</v>
      </c>
      <c r="Q12" s="456">
        <v>0</v>
      </c>
      <c r="R12" s="449">
        <v>0</v>
      </c>
      <c r="S12" s="449">
        <v>0</v>
      </c>
      <c r="T12" s="449">
        <v>0</v>
      </c>
      <c r="U12" s="453">
        <f>SUM(Q12:T12)</f>
        <v>0</v>
      </c>
      <c r="V12" s="456"/>
      <c r="W12" s="449"/>
      <c r="X12" s="449">
        <v>2955418</v>
      </c>
      <c r="Y12" s="449">
        <v>938351</v>
      </c>
      <c r="Z12" s="453">
        <f>SUM(V12:Y12)</f>
        <v>3893769</v>
      </c>
      <c r="AA12" s="456"/>
      <c r="AB12" s="449"/>
      <c r="AC12" s="449"/>
      <c r="AD12" s="449"/>
      <c r="AE12" s="453">
        <f>SUM(AA12:AD12)</f>
        <v>0</v>
      </c>
      <c r="AF12" s="456"/>
      <c r="AG12" s="449"/>
      <c r="AH12" s="448">
        <f t="shared" si="10"/>
        <v>0</v>
      </c>
      <c r="AI12" s="449"/>
      <c r="AJ12" s="449"/>
      <c r="AK12" s="449"/>
      <c r="AL12" s="449"/>
      <c r="AM12" s="448">
        <f t="shared" si="11"/>
        <v>0</v>
      </c>
      <c r="AN12" s="449"/>
      <c r="AO12" s="449"/>
      <c r="AP12" s="449"/>
      <c r="AQ12" s="449"/>
      <c r="AR12" s="453">
        <f t="shared" si="12"/>
        <v>0</v>
      </c>
    </row>
    <row r="13" spans="1:44" x14ac:dyDescent="0.2">
      <c r="A13" s="355" t="s">
        <v>427</v>
      </c>
      <c r="B13" s="446">
        <v>0</v>
      </c>
      <c r="C13" s="446">
        <v>335234.82461538498</v>
      </c>
      <c r="D13" s="492">
        <f t="shared" si="2"/>
        <v>4961102.8928066809</v>
      </c>
      <c r="E13" s="493">
        <f t="shared" si="3"/>
        <v>4961102.8928066809</v>
      </c>
      <c r="F13" s="452">
        <f t="shared" si="0"/>
        <v>335234.82461538498</v>
      </c>
      <c r="G13" s="449">
        <v>0</v>
      </c>
      <c r="H13" s="449">
        <v>174685.945114373</v>
      </c>
      <c r="I13" s="448">
        <f t="shared" si="4"/>
        <v>174685.945114373</v>
      </c>
      <c r="J13" s="449">
        <v>0</v>
      </c>
      <c r="K13" s="449">
        <v>77936.123076923104</v>
      </c>
      <c r="L13" s="448">
        <f t="shared" si="5"/>
        <v>77936.123076923104</v>
      </c>
      <c r="M13" s="449">
        <v>0</v>
      </c>
      <c r="N13" s="449">
        <v>0</v>
      </c>
      <c r="O13" s="448">
        <f t="shared" si="6"/>
        <v>0</v>
      </c>
      <c r="P13" s="453">
        <f t="shared" si="13"/>
        <v>587856.89280668111</v>
      </c>
      <c r="Q13" s="456">
        <v>139654</v>
      </c>
      <c r="R13" s="449">
        <v>734091</v>
      </c>
      <c r="S13" s="449">
        <v>3499501</v>
      </c>
      <c r="T13" s="449">
        <v>0</v>
      </c>
      <c r="U13" s="453">
        <f t="shared" si="7"/>
        <v>4373246</v>
      </c>
      <c r="V13" s="456">
        <v>0</v>
      </c>
      <c r="W13" s="449">
        <v>0</v>
      </c>
      <c r="X13" s="449">
        <v>0</v>
      </c>
      <c r="Y13" s="449">
        <v>0</v>
      </c>
      <c r="Z13" s="453">
        <f t="shared" si="8"/>
        <v>0</v>
      </c>
      <c r="AA13" s="456">
        <v>0</v>
      </c>
      <c r="AB13" s="449">
        <v>0</v>
      </c>
      <c r="AC13" s="449">
        <v>0</v>
      </c>
      <c r="AD13" s="449">
        <v>0</v>
      </c>
      <c r="AE13" s="453">
        <f t="shared" si="9"/>
        <v>0</v>
      </c>
      <c r="AF13" s="456"/>
      <c r="AG13" s="449"/>
      <c r="AH13" s="448">
        <f t="shared" si="10"/>
        <v>0</v>
      </c>
      <c r="AI13" s="449"/>
      <c r="AJ13" s="449"/>
      <c r="AK13" s="449"/>
      <c r="AL13" s="449"/>
      <c r="AM13" s="448">
        <f t="shared" si="11"/>
        <v>0</v>
      </c>
      <c r="AN13" s="449"/>
      <c r="AO13" s="449"/>
      <c r="AP13" s="449"/>
      <c r="AQ13" s="449"/>
      <c r="AR13" s="453">
        <f t="shared" si="12"/>
        <v>0</v>
      </c>
    </row>
    <row r="14" spans="1:44" x14ac:dyDescent="0.2">
      <c r="A14" s="355" t="s">
        <v>422</v>
      </c>
      <c r="B14" s="446">
        <v>0</v>
      </c>
      <c r="C14" s="446">
        <v>4653625</v>
      </c>
      <c r="D14" s="492">
        <f t="shared" si="2"/>
        <v>27332856</v>
      </c>
      <c r="E14" s="493">
        <f t="shared" si="3"/>
        <v>27332856</v>
      </c>
      <c r="F14" s="452">
        <f t="shared" si="0"/>
        <v>4653625</v>
      </c>
      <c r="G14" s="449">
        <v>0</v>
      </c>
      <c r="H14" s="449">
        <v>160642</v>
      </c>
      <c r="I14" s="448">
        <f t="shared" si="4"/>
        <v>160642</v>
      </c>
      <c r="J14" s="449">
        <v>0</v>
      </c>
      <c r="K14" s="449">
        <v>776579</v>
      </c>
      <c r="L14" s="448">
        <f t="shared" si="5"/>
        <v>776579</v>
      </c>
      <c r="M14" s="449">
        <v>0</v>
      </c>
      <c r="N14" s="449">
        <v>0</v>
      </c>
      <c r="O14" s="448">
        <f t="shared" si="6"/>
        <v>0</v>
      </c>
      <c r="P14" s="453">
        <f t="shared" si="13"/>
        <v>5590846</v>
      </c>
      <c r="Q14" s="456">
        <v>125339</v>
      </c>
      <c r="R14" s="449">
        <v>0</v>
      </c>
      <c r="S14" s="449">
        <v>20442933</v>
      </c>
      <c r="T14" s="449">
        <v>0</v>
      </c>
      <c r="U14" s="453">
        <f t="shared" si="7"/>
        <v>20568272</v>
      </c>
      <c r="V14" s="456"/>
      <c r="W14" s="449"/>
      <c r="X14" s="449">
        <v>1167281</v>
      </c>
      <c r="Y14" s="449">
        <v>6457</v>
      </c>
      <c r="Z14" s="453">
        <f t="shared" si="8"/>
        <v>1173738</v>
      </c>
      <c r="AA14" s="456"/>
      <c r="AB14" s="449"/>
      <c r="AC14" s="449"/>
      <c r="AD14" s="449"/>
      <c r="AE14" s="453">
        <f t="shared" si="9"/>
        <v>0</v>
      </c>
      <c r="AF14" s="456"/>
      <c r="AG14" s="449"/>
      <c r="AH14" s="448">
        <f t="shared" si="10"/>
        <v>0</v>
      </c>
      <c r="AI14" s="449"/>
      <c r="AJ14" s="449"/>
      <c r="AK14" s="449"/>
      <c r="AL14" s="449"/>
      <c r="AM14" s="448">
        <f t="shared" si="11"/>
        <v>0</v>
      </c>
      <c r="AN14" s="449"/>
      <c r="AO14" s="449"/>
      <c r="AP14" s="449"/>
      <c r="AQ14" s="449"/>
      <c r="AR14" s="453">
        <f t="shared" si="12"/>
        <v>0</v>
      </c>
    </row>
    <row r="15" spans="1:44" x14ac:dyDescent="0.2">
      <c r="A15" s="473" t="s">
        <v>428</v>
      </c>
      <c r="B15" s="474">
        <f>SUM(B16:B19)</f>
        <v>0</v>
      </c>
      <c r="C15" s="474">
        <f>SUM(C16:C19)</f>
        <v>139130797.09</v>
      </c>
      <c r="D15" s="490">
        <f t="shared" si="2"/>
        <v>585646753.01942933</v>
      </c>
      <c r="E15" s="491">
        <f t="shared" si="3"/>
        <v>484483213.01942921</v>
      </c>
      <c r="F15" s="475">
        <f>SUM(B15:C15)</f>
        <v>139130797.09</v>
      </c>
      <c r="G15" s="476">
        <f>SUM(G16:G19)</f>
        <v>0</v>
      </c>
      <c r="H15" s="476">
        <f>SUM(H16:H19)</f>
        <v>20421019.039999999</v>
      </c>
      <c r="I15" s="477">
        <f t="shared" si="4"/>
        <v>20421019.039999999</v>
      </c>
      <c r="J15" s="476">
        <f>SUM(J16:J19)</f>
        <v>0</v>
      </c>
      <c r="K15" s="476">
        <f>SUM(K16:K19)</f>
        <v>57607067.950000003</v>
      </c>
      <c r="L15" s="477">
        <f t="shared" si="5"/>
        <v>57607067.950000003</v>
      </c>
      <c r="M15" s="476">
        <f>SUM(M16:M19)</f>
        <v>0</v>
      </c>
      <c r="N15" s="476">
        <f>SUM(N16:N19)</f>
        <v>4375299.8600000003</v>
      </c>
      <c r="O15" s="477">
        <f t="shared" si="6"/>
        <v>4375299.8600000003</v>
      </c>
      <c r="P15" s="478">
        <f t="shared" si="13"/>
        <v>221534183.94</v>
      </c>
      <c r="Q15" s="479">
        <f>SUM(Q16:Q19)</f>
        <v>27822498</v>
      </c>
      <c r="R15" s="476">
        <f>SUM(R16:R19)</f>
        <v>170107664</v>
      </c>
      <c r="S15" s="476">
        <f>SUM(S16:S19)</f>
        <v>44816102</v>
      </c>
      <c r="T15" s="476">
        <f>SUM(T16:T19)</f>
        <v>101163540</v>
      </c>
      <c r="U15" s="478">
        <f t="shared" si="7"/>
        <v>343909804</v>
      </c>
      <c r="V15" s="479">
        <f>SUM(V16:V19)</f>
        <v>0</v>
      </c>
      <c r="W15" s="476">
        <f>SUM(W16:W19)</f>
        <v>0</v>
      </c>
      <c r="X15" s="476">
        <f>SUM(X16:X19)</f>
        <v>2911054.46</v>
      </c>
      <c r="Y15" s="476">
        <f>SUM(Y16:Y19)</f>
        <v>-395000</v>
      </c>
      <c r="Z15" s="478">
        <f t="shared" si="8"/>
        <v>2516054.46</v>
      </c>
      <c r="AA15" s="479">
        <f>SUM(AA16:AA19)</f>
        <v>16293714.619999999</v>
      </c>
      <c r="AB15" s="476">
        <f>SUM(AB16:AB19)</f>
        <v>0</v>
      </c>
      <c r="AC15" s="476">
        <f>SUM(AC16:AC19)</f>
        <v>0</v>
      </c>
      <c r="AD15" s="476">
        <f>SUM(AD16:AD19)</f>
        <v>0</v>
      </c>
      <c r="AE15" s="478">
        <f t="shared" si="9"/>
        <v>16293714.619999999</v>
      </c>
      <c r="AF15" s="479">
        <f>SUM(AF16:AF19)</f>
        <v>125386.67005473026</v>
      </c>
      <c r="AG15" s="476">
        <f>SUM(AG16:AG19)</f>
        <v>446091.38076622359</v>
      </c>
      <c r="AH15" s="477">
        <f t="shared" si="10"/>
        <v>188537</v>
      </c>
      <c r="AI15" s="476">
        <f>SUM(AI16:AI19)</f>
        <v>0</v>
      </c>
      <c r="AJ15" s="476"/>
      <c r="AK15" s="476">
        <f>SUM(AK16:AK19)</f>
        <v>154527.22947615324</v>
      </c>
      <c r="AL15" s="476">
        <f>SUM(AL16:AL19)</f>
        <v>246244.98592650506</v>
      </c>
      <c r="AM15" s="477">
        <f t="shared" si="11"/>
        <v>232208.7332056294</v>
      </c>
      <c r="AN15" s="476">
        <f>SUM(AN16:AN19)</f>
        <v>116839.63</v>
      </c>
      <c r="AO15" s="476">
        <f>SUM(AO16:AO19)</f>
        <v>188537</v>
      </c>
      <c r="AP15" s="476">
        <f>SUM(AP16:AP19)</f>
        <v>0</v>
      </c>
      <c r="AQ15" s="476">
        <f>SUM(AQ16:AQ19)</f>
        <v>115369.10320562939</v>
      </c>
      <c r="AR15" s="478">
        <f t="shared" si="12"/>
        <v>1392995.9994292418</v>
      </c>
    </row>
    <row r="16" spans="1:44" x14ac:dyDescent="0.2">
      <c r="A16" s="355" t="s">
        <v>429</v>
      </c>
      <c r="B16" s="446"/>
      <c r="C16" s="446">
        <v>45854759.039999999</v>
      </c>
      <c r="D16" s="492">
        <f t="shared" si="2"/>
        <v>214710570.97000003</v>
      </c>
      <c r="E16" s="493">
        <f t="shared" si="3"/>
        <v>211392958.97000003</v>
      </c>
      <c r="F16" s="452">
        <f t="shared" si="0"/>
        <v>45854759.039999999</v>
      </c>
      <c r="G16" s="449"/>
      <c r="H16" s="449">
        <v>11022912.779999999</v>
      </c>
      <c r="I16" s="448">
        <f t="shared" si="4"/>
        <v>11022912.779999999</v>
      </c>
      <c r="J16" s="449"/>
      <c r="K16" s="449">
        <v>14551619.210000001</v>
      </c>
      <c r="L16" s="448">
        <f t="shared" si="5"/>
        <v>14551619.210000001</v>
      </c>
      <c r="M16" s="449"/>
      <c r="N16" s="449">
        <v>1751611.26</v>
      </c>
      <c r="O16" s="448">
        <f t="shared" si="6"/>
        <v>1751611.26</v>
      </c>
      <c r="P16" s="453">
        <f t="shared" si="13"/>
        <v>73180902.290000007</v>
      </c>
      <c r="Q16" s="456">
        <v>27822498</v>
      </c>
      <c r="R16" s="449">
        <v>77400985</v>
      </c>
      <c r="S16" s="449">
        <v>16411849</v>
      </c>
      <c r="T16" s="449">
        <v>3317612</v>
      </c>
      <c r="U16" s="453">
        <f t="shared" si="7"/>
        <v>124952944</v>
      </c>
      <c r="V16" s="456"/>
      <c r="W16" s="449"/>
      <c r="X16" s="449">
        <v>1717073.06</v>
      </c>
      <c r="Y16" s="449">
        <v>-1750000</v>
      </c>
      <c r="Z16" s="453">
        <f t="shared" si="8"/>
        <v>-32926.939999999944</v>
      </c>
      <c r="AA16" s="456">
        <v>16293714.619999999</v>
      </c>
      <c r="AB16" s="449"/>
      <c r="AC16" s="449"/>
      <c r="AD16" s="449"/>
      <c r="AE16" s="453">
        <f t="shared" si="9"/>
        <v>16293714.619999999</v>
      </c>
      <c r="AF16" s="456">
        <v>20965</v>
      </c>
      <c r="AG16" s="449">
        <v>61247</v>
      </c>
      <c r="AH16" s="448">
        <f t="shared" si="10"/>
        <v>188537</v>
      </c>
      <c r="AI16" s="449">
        <v>0</v>
      </c>
      <c r="AJ16" s="449"/>
      <c r="AK16" s="449">
        <v>0</v>
      </c>
      <c r="AL16" s="449">
        <v>17191</v>
      </c>
      <c r="AM16" s="448">
        <f t="shared" si="11"/>
        <v>27997</v>
      </c>
      <c r="AN16" s="449">
        <v>27997</v>
      </c>
      <c r="AO16" s="449">
        <v>188537</v>
      </c>
      <c r="AP16" s="449">
        <v>0</v>
      </c>
      <c r="AQ16" s="449">
        <v>0</v>
      </c>
      <c r="AR16" s="453">
        <f t="shared" si="12"/>
        <v>315937</v>
      </c>
    </row>
    <row r="17" spans="1:44" x14ac:dyDescent="0.2">
      <c r="A17" s="355" t="s">
        <v>430</v>
      </c>
      <c r="B17" s="446"/>
      <c r="C17" s="446">
        <v>89946384.569999993</v>
      </c>
      <c r="D17" s="492">
        <f t="shared" si="2"/>
        <v>362345739.90942919</v>
      </c>
      <c r="E17" s="493">
        <f t="shared" si="3"/>
        <v>265177753.90942925</v>
      </c>
      <c r="F17" s="452">
        <f t="shared" si="0"/>
        <v>89946384.569999993</v>
      </c>
      <c r="G17" s="449"/>
      <c r="H17" s="449">
        <v>9010721.6199999992</v>
      </c>
      <c r="I17" s="448">
        <f t="shared" si="4"/>
        <v>9010721.6199999992</v>
      </c>
      <c r="J17" s="449"/>
      <c r="K17" s="449">
        <v>42003544.460000001</v>
      </c>
      <c r="L17" s="448">
        <f t="shared" si="5"/>
        <v>42003544.460000001</v>
      </c>
      <c r="M17" s="449"/>
      <c r="N17" s="449">
        <v>2462065.12</v>
      </c>
      <c r="O17" s="448">
        <f t="shared" si="6"/>
        <v>2462065.12</v>
      </c>
      <c r="P17" s="453">
        <f t="shared" si="13"/>
        <v>143422715.77000001</v>
      </c>
      <c r="Q17" s="456"/>
      <c r="R17" s="449">
        <v>91905904</v>
      </c>
      <c r="S17" s="449">
        <v>26447321</v>
      </c>
      <c r="T17" s="449">
        <v>97167986</v>
      </c>
      <c r="U17" s="453">
        <f>SUM(Q17:T17)</f>
        <v>215521211</v>
      </c>
      <c r="V17" s="456"/>
      <c r="W17" s="449"/>
      <c r="X17" s="449">
        <v>969754.14</v>
      </c>
      <c r="Y17" s="449">
        <v>1355000</v>
      </c>
      <c r="Z17" s="453">
        <f>SUM(V17:Y17)</f>
        <v>2324754.14</v>
      </c>
      <c r="AA17" s="456"/>
      <c r="AB17" s="449"/>
      <c r="AC17" s="449"/>
      <c r="AD17" s="449"/>
      <c r="AE17" s="453">
        <f>SUM(AA17:AD17)</f>
        <v>0</v>
      </c>
      <c r="AF17" s="456">
        <v>104421.67005473026</v>
      </c>
      <c r="AG17" s="449">
        <v>384844.38076622359</v>
      </c>
      <c r="AH17" s="448">
        <f t="shared" si="10"/>
        <v>0</v>
      </c>
      <c r="AI17" s="449"/>
      <c r="AJ17" s="449"/>
      <c r="AK17" s="449">
        <v>154527.22947615324</v>
      </c>
      <c r="AL17" s="449">
        <v>229053.98592650506</v>
      </c>
      <c r="AM17" s="448">
        <f t="shared" si="11"/>
        <v>204211.7332056294</v>
      </c>
      <c r="AN17" s="449">
        <v>88842.63</v>
      </c>
      <c r="AO17" s="449"/>
      <c r="AP17" s="449"/>
      <c r="AQ17" s="449">
        <v>115369.10320562939</v>
      </c>
      <c r="AR17" s="453">
        <f t="shared" si="12"/>
        <v>1077058.9994292415</v>
      </c>
    </row>
    <row r="18" spans="1:44" x14ac:dyDescent="0.2">
      <c r="A18" s="355" t="s">
        <v>431</v>
      </c>
      <c r="B18" s="446"/>
      <c r="C18" s="446">
        <v>2390001.27</v>
      </c>
      <c r="D18" s="492">
        <f t="shared" si="2"/>
        <v>6144706.1999999993</v>
      </c>
      <c r="E18" s="493">
        <f t="shared" si="3"/>
        <v>5466764.1999999993</v>
      </c>
      <c r="F18" s="452">
        <f t="shared" si="0"/>
        <v>2390001.27</v>
      </c>
      <c r="G18" s="449"/>
      <c r="H18" s="449">
        <v>221563.66</v>
      </c>
      <c r="I18" s="448">
        <f t="shared" si="4"/>
        <v>221563.66</v>
      </c>
      <c r="J18" s="449"/>
      <c r="K18" s="449">
        <v>777545.61</v>
      </c>
      <c r="L18" s="448">
        <f t="shared" si="5"/>
        <v>777545.61</v>
      </c>
      <c r="M18" s="449"/>
      <c r="N18" s="449">
        <v>114843.4</v>
      </c>
      <c r="O18" s="448">
        <f t="shared" si="6"/>
        <v>114843.4</v>
      </c>
      <c r="P18" s="453">
        <f t="shared" si="13"/>
        <v>3503953.94</v>
      </c>
      <c r="Q18" s="456"/>
      <c r="R18" s="449">
        <v>569900</v>
      </c>
      <c r="S18" s="449">
        <v>1168683</v>
      </c>
      <c r="T18" s="449">
        <v>677942</v>
      </c>
      <c r="U18" s="453">
        <f>SUM(Q18:T18)</f>
        <v>2416525</v>
      </c>
      <c r="V18" s="456"/>
      <c r="W18" s="449"/>
      <c r="X18" s="449">
        <v>224227.26</v>
      </c>
      <c r="Y18" s="449"/>
      <c r="Z18" s="453">
        <f>SUM(V18:Y18)</f>
        <v>224227.26</v>
      </c>
      <c r="AA18" s="456"/>
      <c r="AB18" s="449"/>
      <c r="AC18" s="449"/>
      <c r="AD18" s="449"/>
      <c r="AE18" s="453">
        <f>SUM(AA18:AD18)</f>
        <v>0</v>
      </c>
      <c r="AF18" s="456"/>
      <c r="AG18" s="449"/>
      <c r="AH18" s="448">
        <f t="shared" si="10"/>
        <v>0</v>
      </c>
      <c r="AI18" s="449"/>
      <c r="AJ18" s="449"/>
      <c r="AK18" s="449"/>
      <c r="AL18" s="449"/>
      <c r="AM18" s="448">
        <f t="shared" si="11"/>
        <v>0</v>
      </c>
      <c r="AN18" s="449"/>
      <c r="AO18" s="449"/>
      <c r="AP18" s="449"/>
      <c r="AQ18" s="449"/>
      <c r="AR18" s="453">
        <f t="shared" si="12"/>
        <v>0</v>
      </c>
    </row>
    <row r="19" spans="1:44" x14ac:dyDescent="0.2">
      <c r="A19" s="355" t="s">
        <v>427</v>
      </c>
      <c r="B19" s="446"/>
      <c r="C19" s="446">
        <v>939652.21</v>
      </c>
      <c r="D19" s="492">
        <f t="shared" si="2"/>
        <v>2445735.94</v>
      </c>
      <c r="E19" s="493">
        <f t="shared" si="3"/>
        <v>2445735.94</v>
      </c>
      <c r="F19" s="452">
        <f t="shared" si="0"/>
        <v>939652.21</v>
      </c>
      <c r="G19" s="449"/>
      <c r="H19" s="449">
        <v>165820.98000000001</v>
      </c>
      <c r="I19" s="448">
        <f t="shared" si="4"/>
        <v>165820.98000000001</v>
      </c>
      <c r="J19" s="449"/>
      <c r="K19" s="449">
        <v>274358.67</v>
      </c>
      <c r="L19" s="448">
        <f t="shared" si="5"/>
        <v>274358.67</v>
      </c>
      <c r="M19" s="449"/>
      <c r="N19" s="449">
        <v>46780.08</v>
      </c>
      <c r="O19" s="448">
        <f t="shared" si="6"/>
        <v>46780.08</v>
      </c>
      <c r="P19" s="453">
        <f t="shared" si="13"/>
        <v>1426611.94</v>
      </c>
      <c r="Q19" s="456"/>
      <c r="R19" s="449">
        <v>230875</v>
      </c>
      <c r="S19" s="449">
        <v>788249</v>
      </c>
      <c r="T19" s="449"/>
      <c r="U19" s="453">
        <f t="shared" si="7"/>
        <v>1019124</v>
      </c>
      <c r="V19" s="456"/>
      <c r="W19" s="449"/>
      <c r="X19" s="449"/>
      <c r="Y19" s="449"/>
      <c r="Z19" s="453">
        <f t="shared" si="8"/>
        <v>0</v>
      </c>
      <c r="AA19" s="456"/>
      <c r="AB19" s="449"/>
      <c r="AC19" s="449"/>
      <c r="AD19" s="449"/>
      <c r="AE19" s="453">
        <f t="shared" si="9"/>
        <v>0</v>
      </c>
      <c r="AF19" s="456"/>
      <c r="AG19" s="449"/>
      <c r="AH19" s="448">
        <f t="shared" si="10"/>
        <v>0</v>
      </c>
      <c r="AI19" s="449"/>
      <c r="AJ19" s="449"/>
      <c r="AK19" s="449"/>
      <c r="AL19" s="449"/>
      <c r="AM19" s="448">
        <f t="shared" si="11"/>
        <v>0</v>
      </c>
      <c r="AN19" s="449"/>
      <c r="AO19" s="449"/>
      <c r="AP19" s="449"/>
      <c r="AQ19" s="449"/>
      <c r="AR19" s="453">
        <f t="shared" si="12"/>
        <v>0</v>
      </c>
    </row>
    <row r="20" spans="1:44" x14ac:dyDescent="0.2">
      <c r="A20" s="473" t="s">
        <v>432</v>
      </c>
      <c r="B20" s="474">
        <f>SUM(B21:B28)</f>
        <v>0</v>
      </c>
      <c r="C20" s="474">
        <f>SUM(C21:C28)</f>
        <v>428984378.87999994</v>
      </c>
      <c r="D20" s="490">
        <f>P20+U20+Z20+AE20+AR20</f>
        <v>2567453132.0699997</v>
      </c>
      <c r="E20" s="491">
        <f t="shared" si="3"/>
        <v>2501385892.5499997</v>
      </c>
      <c r="F20" s="475">
        <f t="shared" si="0"/>
        <v>428984378.87999994</v>
      </c>
      <c r="G20" s="476">
        <f>SUM(G21:G28)</f>
        <v>0</v>
      </c>
      <c r="H20" s="476">
        <f>SUM(H21:H28)</f>
        <v>95963489.820000008</v>
      </c>
      <c r="I20" s="477">
        <f>SUM(G20:H20)</f>
        <v>95963489.820000008</v>
      </c>
      <c r="J20" s="476">
        <f>SUM(J21:J28)</f>
        <v>0</v>
      </c>
      <c r="K20" s="476">
        <f>SUM(K21:K28)</f>
        <v>91018983.079999968</v>
      </c>
      <c r="L20" s="477">
        <f t="shared" si="5"/>
        <v>91018983.079999968</v>
      </c>
      <c r="M20" s="476">
        <f>SUM(M21:M28)</f>
        <v>0</v>
      </c>
      <c r="N20" s="476">
        <f>SUM(N21:N28)</f>
        <v>32195203.279999997</v>
      </c>
      <c r="O20" s="477">
        <f t="shared" si="6"/>
        <v>32195203.279999997</v>
      </c>
      <c r="P20" s="478">
        <f>F20+I20+L20+O20</f>
        <v>648162055.05999982</v>
      </c>
      <c r="Q20" s="479">
        <f>SUM(Q21:Q28)</f>
        <v>372696968.77999997</v>
      </c>
      <c r="R20" s="476">
        <f>SUM(R21:R28)</f>
        <v>1900107.54</v>
      </c>
      <c r="S20" s="476">
        <f>SUM(S21:S28)</f>
        <v>1155944777.74</v>
      </c>
      <c r="T20" s="476">
        <f>SUM(T21:T28)</f>
        <v>66067239.519999996</v>
      </c>
      <c r="U20" s="478">
        <f t="shared" si="7"/>
        <v>1596609093.5799999</v>
      </c>
      <c r="V20" s="479">
        <f>SUM(V21:V28)</f>
        <v>51189405.839999996</v>
      </c>
      <c r="W20" s="476">
        <f>SUM(W21:W28)</f>
        <v>0</v>
      </c>
      <c r="X20" s="476">
        <f>SUM(X21:X28)</f>
        <v>80065175.909999982</v>
      </c>
      <c r="Y20" s="476">
        <f>SUM(Y21:Y28)</f>
        <v>128914000</v>
      </c>
      <c r="Z20" s="478">
        <f>SUM(V20:Y20)</f>
        <v>260168581.74999997</v>
      </c>
      <c r="AA20" s="479">
        <f>SUM(AA21:AA28)</f>
        <v>51710285.489999995</v>
      </c>
      <c r="AB20" s="476">
        <f>SUM(AB21:AB28)</f>
        <v>0</v>
      </c>
      <c r="AC20" s="476">
        <f>SUM(AC21:AC28)</f>
        <v>192000</v>
      </c>
      <c r="AD20" s="476">
        <f>SUM(AD21:AD28)</f>
        <v>0</v>
      </c>
      <c r="AE20" s="478">
        <f t="shared" si="9"/>
        <v>51902285.489999995</v>
      </c>
      <c r="AF20" s="479">
        <f>SUM(AF21:AF28)</f>
        <v>271855.32999999996</v>
      </c>
      <c r="AG20" s="476">
        <f>SUM(AG21:AG28)</f>
        <v>5351238.09</v>
      </c>
      <c r="AH20" s="477">
        <f t="shared" si="10"/>
        <v>394968.86</v>
      </c>
      <c r="AI20" s="476">
        <f>SUM(AI21:AI28)</f>
        <v>2307.36</v>
      </c>
      <c r="AJ20" s="476"/>
      <c r="AK20" s="476">
        <f>SUM(AK21:AK28)</f>
        <v>919338.72</v>
      </c>
      <c r="AL20" s="476">
        <f>SUM(AL21:AL28)</f>
        <v>2043031.67</v>
      </c>
      <c r="AM20" s="477">
        <f t="shared" si="11"/>
        <v>1628376.16</v>
      </c>
      <c r="AN20" s="476">
        <f>SUM(AN21:AN28)</f>
        <v>1603376.16</v>
      </c>
      <c r="AO20" s="476">
        <f>SUM(AO21:AO28)</f>
        <v>389968.86</v>
      </c>
      <c r="AP20" s="476">
        <f>SUM(AP21:AP28)</f>
        <v>5000</v>
      </c>
      <c r="AQ20" s="476">
        <f>SUM(AQ21:AQ28)</f>
        <v>25000</v>
      </c>
      <c r="AR20" s="478">
        <f t="shared" si="12"/>
        <v>10611116.190000001</v>
      </c>
    </row>
    <row r="21" spans="1:44" x14ac:dyDescent="0.2">
      <c r="A21" s="355" t="s">
        <v>433</v>
      </c>
      <c r="B21" s="446"/>
      <c r="C21" s="486">
        <v>333953200.63</v>
      </c>
      <c r="D21" s="494">
        <f>P21+U21+Z21+AE21+AR21</f>
        <v>1897887556.8400002</v>
      </c>
      <c r="E21" s="495">
        <f t="shared" si="3"/>
        <v>1859502916.8400002</v>
      </c>
      <c r="F21" s="452">
        <v>333953200.63</v>
      </c>
      <c r="G21" s="449"/>
      <c r="H21" s="487">
        <v>79127833.24000001</v>
      </c>
      <c r="I21" s="448">
        <v>79127833.24000001</v>
      </c>
      <c r="J21" s="449">
        <v>0</v>
      </c>
      <c r="K21" s="449">
        <v>65483939.969999999</v>
      </c>
      <c r="L21" s="448">
        <v>65483939.969999999</v>
      </c>
      <c r="M21" s="449">
        <v>0</v>
      </c>
      <c r="N21" s="449">
        <v>25739917.169999998</v>
      </c>
      <c r="O21" s="448">
        <v>25739917.169999998</v>
      </c>
      <c r="P21" s="453">
        <v>504304891.00999999</v>
      </c>
      <c r="Q21" s="456">
        <v>160698718</v>
      </c>
      <c r="R21" s="449">
        <v>0</v>
      </c>
      <c r="S21" s="449">
        <v>1017920594</v>
      </c>
      <c r="T21" s="449">
        <v>38384640</v>
      </c>
      <c r="U21" s="453">
        <v>1217003952</v>
      </c>
      <c r="V21" s="456">
        <v>46865104.269999996</v>
      </c>
      <c r="W21" s="449">
        <v>0</v>
      </c>
      <c r="X21" s="449">
        <v>69324520.889999986</v>
      </c>
      <c r="Y21" s="449">
        <v>0</v>
      </c>
      <c r="Z21" s="453">
        <v>116189625.16</v>
      </c>
      <c r="AA21" s="456">
        <v>51214513.989999995</v>
      </c>
      <c r="AB21" s="449">
        <v>0</v>
      </c>
      <c r="AC21" s="449">
        <v>192000</v>
      </c>
      <c r="AD21" s="449">
        <v>0</v>
      </c>
      <c r="AE21" s="453">
        <v>51214513.989999995</v>
      </c>
      <c r="AF21" s="456">
        <v>236650.33</v>
      </c>
      <c r="AG21" s="449">
        <v>4984738.09</v>
      </c>
      <c r="AH21" s="448">
        <v>258624.86</v>
      </c>
      <c r="AI21" s="449">
        <v>2307.36</v>
      </c>
      <c r="AJ21" s="449">
        <v>0</v>
      </c>
      <c r="AK21" s="449">
        <v>780796.72</v>
      </c>
      <c r="AL21" s="449">
        <v>1847096.16</v>
      </c>
      <c r="AM21" s="448">
        <v>1064361.1599999999</v>
      </c>
      <c r="AN21" s="449">
        <v>1064361.1599999999</v>
      </c>
      <c r="AO21" s="449">
        <v>258624.86</v>
      </c>
      <c r="AP21" s="449">
        <v>0</v>
      </c>
      <c r="AQ21" s="449">
        <v>0</v>
      </c>
      <c r="AR21" s="453">
        <v>9174574.6799999997</v>
      </c>
    </row>
    <row r="22" spans="1:44" x14ac:dyDescent="0.2">
      <c r="A22" s="355" t="s">
        <v>434</v>
      </c>
      <c r="B22" s="446"/>
      <c r="C22" s="446">
        <v>40350168.75</v>
      </c>
      <c r="D22" s="492">
        <f t="shared" si="2"/>
        <v>366022230.19</v>
      </c>
      <c r="E22" s="493">
        <f t="shared" si="3"/>
        <v>343395163.19</v>
      </c>
      <c r="F22" s="452">
        <f t="shared" ref="F22:F42" si="14">SUM(B22:C22)</f>
        <v>40350168.75</v>
      </c>
      <c r="G22" s="449"/>
      <c r="H22" s="449">
        <v>8828949.9100000001</v>
      </c>
      <c r="I22" s="448">
        <f t="shared" si="4"/>
        <v>8828949.9100000001</v>
      </c>
      <c r="J22" s="449"/>
      <c r="K22" s="449">
        <v>10815020.800000001</v>
      </c>
      <c r="L22" s="448">
        <f t="shared" si="5"/>
        <v>10815020.800000001</v>
      </c>
      <c r="M22" s="449"/>
      <c r="N22" s="449">
        <v>3110914.72</v>
      </c>
      <c r="O22" s="448">
        <f t="shared" si="6"/>
        <v>3110914.72</v>
      </c>
      <c r="P22" s="453">
        <f t="shared" si="13"/>
        <v>63105054.179999992</v>
      </c>
      <c r="Q22" s="456">
        <v>197606356</v>
      </c>
      <c r="R22" s="449"/>
      <c r="S22" s="449">
        <v>69788512</v>
      </c>
      <c r="T22" s="449">
        <v>22627067</v>
      </c>
      <c r="U22" s="453">
        <f>SUM(Q22:T22)</f>
        <v>290021935</v>
      </c>
      <c r="V22" s="456">
        <v>4324301.57</v>
      </c>
      <c r="W22" s="449"/>
      <c r="X22" s="449">
        <v>8570939.4399999995</v>
      </c>
      <c r="Y22" s="449"/>
      <c r="Z22" s="453">
        <f>SUM(V22:Y22)</f>
        <v>12895241.01</v>
      </c>
      <c r="AA22" s="456"/>
      <c r="AB22" s="449"/>
      <c r="AC22" s="449"/>
      <c r="AD22" s="449"/>
      <c r="AE22" s="453">
        <f>SUM(AA22:AD22)</f>
        <v>0</v>
      </c>
      <c r="AF22" s="456"/>
      <c r="AG22" s="449"/>
      <c r="AH22" s="448">
        <f t="shared" si="10"/>
        <v>0</v>
      </c>
      <c r="AI22" s="449"/>
      <c r="AJ22" s="449"/>
      <c r="AK22" s="449"/>
      <c r="AL22" s="449"/>
      <c r="AM22" s="448">
        <f t="shared" si="11"/>
        <v>0</v>
      </c>
      <c r="AN22" s="449"/>
      <c r="AO22" s="449"/>
      <c r="AP22" s="449"/>
      <c r="AQ22" s="449"/>
      <c r="AR22" s="453">
        <f t="shared" si="12"/>
        <v>0</v>
      </c>
    </row>
    <row r="23" spans="1:44" x14ac:dyDescent="0.2">
      <c r="A23" s="355" t="s">
        <v>435</v>
      </c>
      <c r="B23" s="446"/>
      <c r="C23" s="446">
        <v>513391.03</v>
      </c>
      <c r="D23" s="492">
        <f t="shared" si="2"/>
        <v>1064954.1400000001</v>
      </c>
      <c r="E23" s="493">
        <f t="shared" si="3"/>
        <v>1064954.1400000001</v>
      </c>
      <c r="F23" s="452">
        <f t="shared" si="14"/>
        <v>513391.03</v>
      </c>
      <c r="G23" s="449"/>
      <c r="H23" s="449">
        <v>57727.66</v>
      </c>
      <c r="I23" s="448">
        <f t="shared" si="4"/>
        <v>57727.66</v>
      </c>
      <c r="J23" s="449"/>
      <c r="K23" s="449">
        <v>174677.74</v>
      </c>
      <c r="L23" s="448">
        <f t="shared" si="5"/>
        <v>174677.74</v>
      </c>
      <c r="M23" s="449"/>
      <c r="N23" s="449">
        <v>39581.39</v>
      </c>
      <c r="O23" s="448">
        <f t="shared" si="6"/>
        <v>39581.39</v>
      </c>
      <c r="P23" s="453">
        <f t="shared" si="13"/>
        <v>785377.82000000007</v>
      </c>
      <c r="Q23" s="456"/>
      <c r="R23" s="449"/>
      <c r="S23" s="449"/>
      <c r="T23" s="449"/>
      <c r="U23" s="453">
        <f>SUM(Q23:T23)</f>
        <v>0</v>
      </c>
      <c r="V23" s="456"/>
      <c r="W23" s="449"/>
      <c r="X23" s="449">
        <v>279576.32000000001</v>
      </c>
      <c r="Y23" s="449"/>
      <c r="Z23" s="453">
        <f>SUM(V23:Y23)</f>
        <v>279576.32000000001</v>
      </c>
      <c r="AA23" s="456"/>
      <c r="AB23" s="449"/>
      <c r="AC23" s="449"/>
      <c r="AD23" s="449"/>
      <c r="AE23" s="453">
        <f>SUM(AA23:AD23)</f>
        <v>0</v>
      </c>
      <c r="AF23" s="456"/>
      <c r="AG23" s="449"/>
      <c r="AH23" s="448">
        <f t="shared" si="10"/>
        <v>0</v>
      </c>
      <c r="AI23" s="449"/>
      <c r="AJ23" s="449"/>
      <c r="AK23" s="449"/>
      <c r="AL23" s="449"/>
      <c r="AM23" s="448">
        <f t="shared" si="11"/>
        <v>0</v>
      </c>
      <c r="AN23" s="449"/>
      <c r="AO23" s="449"/>
      <c r="AP23" s="449"/>
      <c r="AQ23" s="449"/>
      <c r="AR23" s="453">
        <f t="shared" si="12"/>
        <v>0</v>
      </c>
    </row>
    <row r="24" spans="1:44" x14ac:dyDescent="0.2">
      <c r="A24" s="355" t="s">
        <v>436</v>
      </c>
      <c r="B24" s="446"/>
      <c r="C24" s="446">
        <v>26379757.73</v>
      </c>
      <c r="D24" s="492">
        <f t="shared" si="2"/>
        <v>40252425.199999996</v>
      </c>
      <c r="E24" s="493">
        <f t="shared" si="3"/>
        <v>40252425.199999996</v>
      </c>
      <c r="F24" s="452">
        <f t="shared" si="14"/>
        <v>26379757.73</v>
      </c>
      <c r="G24" s="449"/>
      <c r="H24" s="449">
        <v>4471942.7699999996</v>
      </c>
      <c r="I24" s="448">
        <f t="shared" si="4"/>
        <v>4471942.7699999996</v>
      </c>
      <c r="J24" s="449"/>
      <c r="K24" s="449">
        <v>7780877.9100000001</v>
      </c>
      <c r="L24" s="448">
        <f t="shared" si="5"/>
        <v>7780877.9100000001</v>
      </c>
      <c r="M24" s="449"/>
      <c r="N24" s="449">
        <v>1572183.79</v>
      </c>
      <c r="O24" s="448">
        <f t="shared" si="6"/>
        <v>1572183.79</v>
      </c>
      <c r="P24" s="453">
        <f t="shared" si="13"/>
        <v>40204762.199999996</v>
      </c>
      <c r="Q24" s="456"/>
      <c r="R24" s="449"/>
      <c r="S24" s="449"/>
      <c r="T24" s="449"/>
      <c r="U24" s="453">
        <f>SUM(Q24:T24)</f>
        <v>0</v>
      </c>
      <c r="V24" s="456"/>
      <c r="W24" s="449"/>
      <c r="X24" s="449">
        <v>47663</v>
      </c>
      <c r="Y24" s="449"/>
      <c r="Z24" s="453">
        <f>SUM(V24:Y24)</f>
        <v>47663</v>
      </c>
      <c r="AA24" s="456"/>
      <c r="AB24" s="449"/>
      <c r="AC24" s="449"/>
      <c r="AD24" s="449"/>
      <c r="AE24" s="453">
        <f>SUM(AA24:AD24)</f>
        <v>0</v>
      </c>
      <c r="AF24" s="456"/>
      <c r="AG24" s="449"/>
      <c r="AH24" s="448">
        <f t="shared" si="10"/>
        <v>0</v>
      </c>
      <c r="AI24" s="449"/>
      <c r="AJ24" s="449"/>
      <c r="AK24" s="449"/>
      <c r="AL24" s="449"/>
      <c r="AM24" s="448">
        <f t="shared" si="11"/>
        <v>0</v>
      </c>
      <c r="AN24" s="449"/>
      <c r="AO24" s="449"/>
      <c r="AP24" s="449"/>
      <c r="AQ24" s="449"/>
      <c r="AR24" s="453">
        <f t="shared" si="12"/>
        <v>0</v>
      </c>
    </row>
    <row r="25" spans="1:44" x14ac:dyDescent="0.2">
      <c r="A25" s="355" t="s">
        <v>427</v>
      </c>
      <c r="B25" s="446"/>
      <c r="C25" s="446">
        <v>2789933.52</v>
      </c>
      <c r="D25" s="492">
        <f t="shared" si="2"/>
        <v>32582574.380000003</v>
      </c>
      <c r="E25" s="493">
        <f t="shared" si="3"/>
        <v>32547764.380000003</v>
      </c>
      <c r="F25" s="452">
        <f t="shared" si="14"/>
        <v>2789933.52</v>
      </c>
      <c r="G25" s="449"/>
      <c r="H25" s="449">
        <v>716836.29</v>
      </c>
      <c r="I25" s="448">
        <f t="shared" si="4"/>
        <v>716836.29</v>
      </c>
      <c r="J25" s="449"/>
      <c r="K25" s="449">
        <v>823438.35</v>
      </c>
      <c r="L25" s="448">
        <f t="shared" si="5"/>
        <v>823438.35</v>
      </c>
      <c r="M25" s="449"/>
      <c r="N25" s="449">
        <v>213666.19</v>
      </c>
      <c r="O25" s="448">
        <f t="shared" si="6"/>
        <v>213666.19</v>
      </c>
      <c r="P25" s="453">
        <f t="shared" si="13"/>
        <v>4543874.3500000006</v>
      </c>
      <c r="Q25" s="456">
        <v>0</v>
      </c>
      <c r="R25" s="449">
        <v>0</v>
      </c>
      <c r="S25" s="449">
        <v>26468330</v>
      </c>
      <c r="T25" s="449">
        <v>34810</v>
      </c>
      <c r="U25" s="453">
        <f t="shared" si="7"/>
        <v>26503140</v>
      </c>
      <c r="V25" s="456"/>
      <c r="W25" s="449"/>
      <c r="X25" s="449">
        <v>1039788.53</v>
      </c>
      <c r="Y25" s="449"/>
      <c r="Z25" s="453">
        <f t="shared" si="8"/>
        <v>1039788.53</v>
      </c>
      <c r="AA25" s="456">
        <v>495771.5</v>
      </c>
      <c r="AB25" s="449"/>
      <c r="AC25" s="449"/>
      <c r="AD25" s="449"/>
      <c r="AE25" s="453">
        <f t="shared" si="9"/>
        <v>495771.5</v>
      </c>
      <c r="AF25" s="456"/>
      <c r="AG25" s="449"/>
      <c r="AH25" s="448">
        <f t="shared" si="10"/>
        <v>0</v>
      </c>
      <c r="AI25" s="449"/>
      <c r="AJ25" s="449"/>
      <c r="AK25" s="449"/>
      <c r="AL25" s="449"/>
      <c r="AM25" s="448">
        <f t="shared" si="11"/>
        <v>0</v>
      </c>
      <c r="AN25" s="449"/>
      <c r="AO25" s="449"/>
      <c r="AP25" s="449"/>
      <c r="AQ25" s="449"/>
      <c r="AR25" s="453">
        <f t="shared" si="12"/>
        <v>0</v>
      </c>
    </row>
    <row r="26" spans="1:44" x14ac:dyDescent="0.2">
      <c r="A26" s="355" t="s">
        <v>437</v>
      </c>
      <c r="B26" s="446"/>
      <c r="C26" s="446">
        <v>1683898.95</v>
      </c>
      <c r="D26" s="492">
        <f t="shared" si="2"/>
        <v>20624086.039999999</v>
      </c>
      <c r="E26" s="493">
        <f t="shared" si="3"/>
        <v>16070106.520000001</v>
      </c>
      <c r="F26" s="452">
        <f t="shared" si="14"/>
        <v>1683898.95</v>
      </c>
      <c r="G26" s="449"/>
      <c r="H26" s="449">
        <v>273168.84000000003</v>
      </c>
      <c r="I26" s="448">
        <f t="shared" si="4"/>
        <v>273168.84000000003</v>
      </c>
      <c r="J26" s="449"/>
      <c r="K26" s="449">
        <v>368457.49</v>
      </c>
      <c r="L26" s="448">
        <f t="shared" si="5"/>
        <v>368457.49</v>
      </c>
      <c r="M26" s="449"/>
      <c r="N26" s="449">
        <v>107717.18</v>
      </c>
      <c r="O26" s="448">
        <f t="shared" si="6"/>
        <v>107717.18</v>
      </c>
      <c r="P26" s="453">
        <f t="shared" si="13"/>
        <v>2433242.4600000004</v>
      </c>
      <c r="Q26" s="456">
        <v>6352691.7800000003</v>
      </c>
      <c r="R26" s="449">
        <v>1900107.54</v>
      </c>
      <c r="S26" s="449">
        <v>4003640.74</v>
      </c>
      <c r="T26" s="449">
        <v>4553979.5199999996</v>
      </c>
      <c r="U26" s="453">
        <f t="shared" si="7"/>
        <v>16810419.579999998</v>
      </c>
      <c r="V26" s="456">
        <v>0</v>
      </c>
      <c r="W26" s="449"/>
      <c r="X26" s="449"/>
      <c r="Y26" s="449"/>
      <c r="Z26" s="453">
        <f t="shared" si="8"/>
        <v>0</v>
      </c>
      <c r="AA26" s="456"/>
      <c r="AB26" s="449"/>
      <c r="AC26" s="449"/>
      <c r="AD26" s="449"/>
      <c r="AE26" s="453">
        <f t="shared" si="9"/>
        <v>0</v>
      </c>
      <c r="AF26" s="456">
        <v>34480</v>
      </c>
      <c r="AG26" s="449">
        <v>348500</v>
      </c>
      <c r="AH26" s="448">
        <f t="shared" si="10"/>
        <v>136344</v>
      </c>
      <c r="AI26" s="449">
        <v>0</v>
      </c>
      <c r="AJ26" s="449"/>
      <c r="AK26" s="449">
        <v>136042</v>
      </c>
      <c r="AL26" s="449">
        <v>175258</v>
      </c>
      <c r="AM26" s="448">
        <f t="shared" si="11"/>
        <v>549800</v>
      </c>
      <c r="AN26" s="449">
        <v>524800</v>
      </c>
      <c r="AO26" s="449">
        <v>131344</v>
      </c>
      <c r="AP26" s="449">
        <v>5000</v>
      </c>
      <c r="AQ26" s="449">
        <v>25000</v>
      </c>
      <c r="AR26" s="453">
        <f t="shared" si="12"/>
        <v>1380424</v>
      </c>
    </row>
    <row r="27" spans="1:44" x14ac:dyDescent="0.2">
      <c r="A27" s="355" t="s">
        <v>438</v>
      </c>
      <c r="B27" s="446"/>
      <c r="C27" s="446">
        <v>5858853.3300000001</v>
      </c>
      <c r="D27" s="492">
        <f t="shared" si="2"/>
        <v>54786653.240000002</v>
      </c>
      <c r="E27" s="493">
        <f t="shared" si="3"/>
        <v>54320360.240000002</v>
      </c>
      <c r="F27" s="452">
        <f t="shared" si="14"/>
        <v>5858853.3300000001</v>
      </c>
      <c r="G27" s="449"/>
      <c r="H27" s="449">
        <v>1422768.34</v>
      </c>
      <c r="I27" s="448">
        <f t="shared" si="4"/>
        <v>1422768.34</v>
      </c>
      <c r="J27" s="449"/>
      <c r="K27" s="449">
        <v>1338097.8600000001</v>
      </c>
      <c r="L27" s="448">
        <f t="shared" si="5"/>
        <v>1338097.8600000001</v>
      </c>
      <c r="M27" s="449"/>
      <c r="N27" s="449">
        <v>451705.5</v>
      </c>
      <c r="O27" s="448">
        <f t="shared" si="6"/>
        <v>451705.5</v>
      </c>
      <c r="P27" s="453">
        <f t="shared" si="13"/>
        <v>9071425.0299999993</v>
      </c>
      <c r="Q27" s="456">
        <v>8039203</v>
      </c>
      <c r="R27" s="449"/>
      <c r="S27" s="449">
        <v>36375962</v>
      </c>
      <c r="T27" s="449">
        <v>466293</v>
      </c>
      <c r="U27" s="453">
        <f t="shared" si="7"/>
        <v>44881458</v>
      </c>
      <c r="V27" s="456"/>
      <c r="W27" s="449"/>
      <c r="X27" s="449">
        <v>777652.7</v>
      </c>
      <c r="Y27" s="449"/>
      <c r="Z27" s="453">
        <f t="shared" si="8"/>
        <v>777652.7</v>
      </c>
      <c r="AA27" s="456"/>
      <c r="AB27" s="449"/>
      <c r="AC27" s="449"/>
      <c r="AD27" s="449"/>
      <c r="AE27" s="453">
        <f t="shared" si="9"/>
        <v>0</v>
      </c>
      <c r="AF27" s="456">
        <v>725</v>
      </c>
      <c r="AG27" s="449">
        <v>18000</v>
      </c>
      <c r="AH27" s="448">
        <f t="shared" si="10"/>
        <v>0</v>
      </c>
      <c r="AI27" s="449">
        <v>0</v>
      </c>
      <c r="AJ27" s="449"/>
      <c r="AK27" s="449">
        <v>2500</v>
      </c>
      <c r="AL27" s="449">
        <v>20677.509999999998</v>
      </c>
      <c r="AM27" s="448">
        <f t="shared" si="11"/>
        <v>14215</v>
      </c>
      <c r="AN27" s="449">
        <v>14215</v>
      </c>
      <c r="AO27" s="449">
        <v>0</v>
      </c>
      <c r="AP27" s="449">
        <v>0</v>
      </c>
      <c r="AQ27" s="449">
        <v>0</v>
      </c>
      <c r="AR27" s="453">
        <f t="shared" si="12"/>
        <v>56117.509999999995</v>
      </c>
    </row>
    <row r="28" spans="1:44" x14ac:dyDescent="0.2">
      <c r="A28" s="355" t="s">
        <v>439</v>
      </c>
      <c r="B28" s="446"/>
      <c r="C28" s="446">
        <v>17455174.940000001</v>
      </c>
      <c r="D28" s="492">
        <f t="shared" si="2"/>
        <v>154040652.03999999</v>
      </c>
      <c r="E28" s="493">
        <f t="shared" si="3"/>
        <v>154040202.03999999</v>
      </c>
      <c r="F28" s="452">
        <f t="shared" si="14"/>
        <v>17455174.940000001</v>
      </c>
      <c r="G28" s="449"/>
      <c r="H28" s="449">
        <v>1064262.77</v>
      </c>
      <c r="I28" s="448">
        <f t="shared" si="4"/>
        <v>1064262.77</v>
      </c>
      <c r="J28" s="449"/>
      <c r="K28" s="449">
        <v>4234472.96</v>
      </c>
      <c r="L28" s="448">
        <f t="shared" si="5"/>
        <v>4234472.96</v>
      </c>
      <c r="M28" s="449"/>
      <c r="N28" s="449">
        <v>959517.34</v>
      </c>
      <c r="O28" s="448">
        <f t="shared" si="6"/>
        <v>959517.34</v>
      </c>
      <c r="P28" s="453">
        <f t="shared" si="13"/>
        <v>23713428.010000002</v>
      </c>
      <c r="Q28" s="456"/>
      <c r="R28" s="449"/>
      <c r="S28" s="449">
        <v>1387739</v>
      </c>
      <c r="T28" s="449">
        <v>450</v>
      </c>
      <c r="U28" s="453">
        <f t="shared" si="7"/>
        <v>1388189</v>
      </c>
      <c r="V28" s="456"/>
      <c r="W28" s="449"/>
      <c r="X28" s="449">
        <v>25035.03</v>
      </c>
      <c r="Y28" s="449">
        <v>128914000</v>
      </c>
      <c r="Z28" s="453">
        <f t="shared" si="8"/>
        <v>128939035.03</v>
      </c>
      <c r="AA28" s="456"/>
      <c r="AB28" s="449"/>
      <c r="AC28" s="449"/>
      <c r="AD28" s="449"/>
      <c r="AE28" s="453">
        <f t="shared" si="9"/>
        <v>0</v>
      </c>
      <c r="AF28" s="456"/>
      <c r="AG28" s="449"/>
      <c r="AH28" s="448">
        <f t="shared" si="10"/>
        <v>0</v>
      </c>
      <c r="AI28" s="449"/>
      <c r="AJ28" s="449"/>
      <c r="AK28" s="449"/>
      <c r="AL28" s="449"/>
      <c r="AM28" s="448">
        <f t="shared" si="11"/>
        <v>0</v>
      </c>
      <c r="AN28" s="449"/>
      <c r="AO28" s="449"/>
      <c r="AP28" s="449"/>
      <c r="AQ28" s="449"/>
      <c r="AR28" s="453">
        <f t="shared" si="12"/>
        <v>0</v>
      </c>
    </row>
    <row r="29" spans="1:44" x14ac:dyDescent="0.2">
      <c r="A29" s="473" t="s">
        <v>440</v>
      </c>
      <c r="B29" s="474">
        <f t="shared" ref="B29:N29" si="15">B30</f>
        <v>10417212</v>
      </c>
      <c r="C29" s="474">
        <f t="shared" si="15"/>
        <v>53876304</v>
      </c>
      <c r="D29" s="490">
        <f t="shared" si="2"/>
        <v>1011264696.75</v>
      </c>
      <c r="E29" s="491">
        <f t="shared" si="3"/>
        <v>670164696.75</v>
      </c>
      <c r="F29" s="475">
        <f t="shared" si="14"/>
        <v>64293516</v>
      </c>
      <c r="G29" s="476">
        <f t="shared" si="15"/>
        <v>12261538</v>
      </c>
      <c r="H29" s="476">
        <f t="shared" si="15"/>
        <v>26529230</v>
      </c>
      <c r="I29" s="477">
        <f t="shared" si="4"/>
        <v>38790768</v>
      </c>
      <c r="J29" s="476">
        <f t="shared" si="15"/>
        <v>3682609</v>
      </c>
      <c r="K29" s="476">
        <f t="shared" si="15"/>
        <v>13056371</v>
      </c>
      <c r="L29" s="477">
        <f t="shared" si="5"/>
        <v>16738980</v>
      </c>
      <c r="M29" s="476">
        <f t="shared" si="15"/>
        <v>8870993</v>
      </c>
      <c r="N29" s="476">
        <f t="shared" si="15"/>
        <v>2502104</v>
      </c>
      <c r="O29" s="477">
        <f t="shared" si="6"/>
        <v>11373097</v>
      </c>
      <c r="P29" s="478">
        <f t="shared" si="13"/>
        <v>131196361</v>
      </c>
      <c r="Q29" s="479">
        <f>Q30</f>
        <v>25900000</v>
      </c>
      <c r="R29" s="476">
        <f>R30</f>
        <v>0</v>
      </c>
      <c r="S29" s="476">
        <f>S30</f>
        <v>320500000</v>
      </c>
      <c r="T29" s="476">
        <f>T30</f>
        <v>341100000</v>
      </c>
      <c r="U29" s="478">
        <f t="shared" si="7"/>
        <v>687500000</v>
      </c>
      <c r="V29" s="479">
        <f>V30</f>
        <v>1500199</v>
      </c>
      <c r="W29" s="476">
        <f>W30</f>
        <v>43292000</v>
      </c>
      <c r="X29" s="476">
        <f>X30</f>
        <v>869041</v>
      </c>
      <c r="Y29" s="476">
        <f>Y30</f>
        <v>144193000</v>
      </c>
      <c r="Z29" s="478">
        <f t="shared" si="8"/>
        <v>189854240</v>
      </c>
      <c r="AA29" s="479">
        <f>AA30</f>
        <v>0</v>
      </c>
      <c r="AB29" s="476">
        <f>AB30</f>
        <v>303145</v>
      </c>
      <c r="AC29" s="476">
        <f>AC30</f>
        <v>0</v>
      </c>
      <c r="AD29" s="476">
        <f>AD30</f>
        <v>0</v>
      </c>
      <c r="AE29" s="478">
        <f t="shared" si="9"/>
        <v>303145</v>
      </c>
      <c r="AF29" s="479">
        <f t="shared" ref="AF29:AQ29" si="16">AF30</f>
        <v>107330.36</v>
      </c>
      <c r="AG29" s="476">
        <f t="shared" si="16"/>
        <v>434268.76</v>
      </c>
      <c r="AH29" s="477">
        <f t="shared" si="10"/>
        <v>1119811.48</v>
      </c>
      <c r="AI29" s="476">
        <f>AI30</f>
        <v>0</v>
      </c>
      <c r="AJ29" s="476"/>
      <c r="AK29" s="476">
        <f>AK30</f>
        <v>4101.43</v>
      </c>
      <c r="AL29" s="476">
        <f>AL30</f>
        <v>341479.91</v>
      </c>
      <c r="AM29" s="477">
        <f t="shared" si="11"/>
        <v>403958.81</v>
      </c>
      <c r="AN29" s="476">
        <f t="shared" si="16"/>
        <v>143194.07</v>
      </c>
      <c r="AO29" s="476">
        <f t="shared" si="16"/>
        <v>327746.27</v>
      </c>
      <c r="AP29" s="476">
        <f t="shared" si="16"/>
        <v>792065.21</v>
      </c>
      <c r="AQ29" s="476">
        <f t="shared" si="16"/>
        <v>260764.74</v>
      </c>
      <c r="AR29" s="478">
        <f t="shared" si="12"/>
        <v>2410950.75</v>
      </c>
    </row>
    <row r="30" spans="1:44" x14ac:dyDescent="0.2">
      <c r="A30" s="355" t="s">
        <v>441</v>
      </c>
      <c r="B30" s="446">
        <v>10417212</v>
      </c>
      <c r="C30" s="446">
        <v>53876304</v>
      </c>
      <c r="D30" s="492">
        <f t="shared" si="2"/>
        <v>1011264696.75</v>
      </c>
      <c r="E30" s="493">
        <f t="shared" si="3"/>
        <v>670164696.75</v>
      </c>
      <c r="F30" s="452">
        <f t="shared" si="14"/>
        <v>64293516</v>
      </c>
      <c r="G30" s="449">
        <v>12261538</v>
      </c>
      <c r="H30" s="449">
        <v>26529230</v>
      </c>
      <c r="I30" s="448">
        <f t="shared" si="4"/>
        <v>38790768</v>
      </c>
      <c r="J30" s="449">
        <v>3682609</v>
      </c>
      <c r="K30" s="449">
        <v>13056371</v>
      </c>
      <c r="L30" s="448">
        <f t="shared" si="5"/>
        <v>16738980</v>
      </c>
      <c r="M30" s="449">
        <v>8870993</v>
      </c>
      <c r="N30" s="449">
        <v>2502104</v>
      </c>
      <c r="O30" s="448">
        <f t="shared" si="6"/>
        <v>11373097</v>
      </c>
      <c r="P30" s="453">
        <f t="shared" si="13"/>
        <v>131196361</v>
      </c>
      <c r="Q30" s="456">
        <v>25900000</v>
      </c>
      <c r="R30" s="449"/>
      <c r="S30" s="449">
        <v>320500000</v>
      </c>
      <c r="T30" s="449">
        <v>341100000</v>
      </c>
      <c r="U30" s="453">
        <f t="shared" si="7"/>
        <v>687500000</v>
      </c>
      <c r="V30" s="456">
        <v>1500199</v>
      </c>
      <c r="W30" s="449">
        <v>43292000</v>
      </c>
      <c r="X30" s="449">
        <v>869041</v>
      </c>
      <c r="Y30" s="449">
        <v>144193000</v>
      </c>
      <c r="Z30" s="453">
        <f t="shared" si="8"/>
        <v>189854240</v>
      </c>
      <c r="AA30" s="456"/>
      <c r="AB30" s="449">
        <v>303145</v>
      </c>
      <c r="AC30" s="449">
        <v>0</v>
      </c>
      <c r="AD30" s="449"/>
      <c r="AE30" s="453">
        <f t="shared" si="9"/>
        <v>303145</v>
      </c>
      <c r="AF30" s="456">
        <v>107330.36</v>
      </c>
      <c r="AG30" s="449">
        <v>434268.76</v>
      </c>
      <c r="AH30" s="448">
        <f t="shared" si="10"/>
        <v>1119811.48</v>
      </c>
      <c r="AI30" s="449">
        <v>0</v>
      </c>
      <c r="AJ30" s="449"/>
      <c r="AK30" s="449">
        <v>4101.43</v>
      </c>
      <c r="AL30" s="449">
        <v>341479.91</v>
      </c>
      <c r="AM30" s="448">
        <f t="shared" si="11"/>
        <v>403958.81</v>
      </c>
      <c r="AN30" s="449">
        <v>143194.07</v>
      </c>
      <c r="AO30" s="449">
        <v>327746.27</v>
      </c>
      <c r="AP30" s="449">
        <v>792065.21</v>
      </c>
      <c r="AQ30" s="449">
        <v>260764.74</v>
      </c>
      <c r="AR30" s="453">
        <f t="shared" si="12"/>
        <v>2410950.75</v>
      </c>
    </row>
    <row r="31" spans="1:44" x14ac:dyDescent="0.2">
      <c r="A31" s="473" t="s">
        <v>442</v>
      </c>
      <c r="B31" s="474">
        <f>SUM(B32:B34)</f>
        <v>207107</v>
      </c>
      <c r="C31" s="474">
        <f>SUM(C32:C34)</f>
        <v>46018694</v>
      </c>
      <c r="D31" s="490">
        <f t="shared" si="2"/>
        <v>483588659.9287768</v>
      </c>
      <c r="E31" s="491">
        <f t="shared" si="3"/>
        <v>470775581.02338493</v>
      </c>
      <c r="F31" s="475">
        <f t="shared" si="14"/>
        <v>46225801</v>
      </c>
      <c r="G31" s="476">
        <f>SUM(G32:G34)</f>
        <v>250571</v>
      </c>
      <c r="H31" s="476">
        <f>SUM(H32:H34)</f>
        <v>36347715</v>
      </c>
      <c r="I31" s="477">
        <f t="shared" si="4"/>
        <v>36598286</v>
      </c>
      <c r="J31" s="476">
        <f>SUM(J32:J34)</f>
        <v>0</v>
      </c>
      <c r="K31" s="476">
        <f>SUM(K32:K34)</f>
        <v>3792375</v>
      </c>
      <c r="L31" s="477">
        <f t="shared" si="5"/>
        <v>3792375</v>
      </c>
      <c r="M31" s="476">
        <f>SUM(M32:M34)</f>
        <v>0</v>
      </c>
      <c r="N31" s="476">
        <f>SUM(N32:N34)</f>
        <v>62082</v>
      </c>
      <c r="O31" s="477">
        <f t="shared" si="6"/>
        <v>62082</v>
      </c>
      <c r="P31" s="478">
        <f t="shared" si="13"/>
        <v>86678544</v>
      </c>
      <c r="Q31" s="479">
        <f>SUM(Q32:Q34)</f>
        <v>18093260.23</v>
      </c>
      <c r="R31" s="476">
        <f>SUM(R32:R34)</f>
        <v>15665126.73625502</v>
      </c>
      <c r="S31" s="476">
        <f>SUM(S32:S34)</f>
        <v>252605936.82712987</v>
      </c>
      <c r="T31" s="476">
        <f>SUM(T32:T34)</f>
        <v>12813078.9053919</v>
      </c>
      <c r="U31" s="478">
        <f t="shared" si="7"/>
        <v>299177402.69877678</v>
      </c>
      <c r="V31" s="479">
        <f>SUM(V32:V34)</f>
        <v>763992</v>
      </c>
      <c r="W31" s="476">
        <f>SUM(W32:W34)</f>
        <v>8251328</v>
      </c>
      <c r="X31" s="476">
        <f>SUM(X32:X34)</f>
        <v>28718</v>
      </c>
      <c r="Y31" s="476">
        <f>SUM(Y32:Y34)</f>
        <v>77573407</v>
      </c>
      <c r="Z31" s="478">
        <f t="shared" si="8"/>
        <v>86617445</v>
      </c>
      <c r="AA31" s="479">
        <f>SUM(AA32:AA34)</f>
        <v>0</v>
      </c>
      <c r="AB31" s="476">
        <f>SUM(AB32:AB34)</f>
        <v>0</v>
      </c>
      <c r="AC31" s="476">
        <f>SUM(AC32:AC34)</f>
        <v>0</v>
      </c>
      <c r="AD31" s="476">
        <f>SUM(AD32:AD34)</f>
        <v>0</v>
      </c>
      <c r="AE31" s="478">
        <f t="shared" si="9"/>
        <v>0</v>
      </c>
      <c r="AF31" s="479">
        <f>SUM(AF32:AF34)</f>
        <v>0</v>
      </c>
      <c r="AG31" s="476">
        <f>SUM(AG32:AG34)</f>
        <v>682271.44</v>
      </c>
      <c r="AH31" s="477">
        <f t="shared" si="10"/>
        <v>5986365.0899999999</v>
      </c>
      <c r="AI31" s="476">
        <f>SUM(AI32:AI34)</f>
        <v>1562929.91</v>
      </c>
      <c r="AJ31" s="476"/>
      <c r="AK31" s="476">
        <f>SUM(AK32:AK34)</f>
        <v>699748.1</v>
      </c>
      <c r="AL31" s="476">
        <f>SUM(AL32:AL34)</f>
        <v>116866.07</v>
      </c>
      <c r="AM31" s="477">
        <f t="shared" si="11"/>
        <v>2067087.6199999999</v>
      </c>
      <c r="AN31" s="476">
        <f>SUM(AN32:AN34)</f>
        <v>830961.7</v>
      </c>
      <c r="AO31" s="476">
        <f>SUM(AO32:AO34)</f>
        <v>5163297.38</v>
      </c>
      <c r="AP31" s="476">
        <f>SUM(AP32:AP34)</f>
        <v>823067.71000000008</v>
      </c>
      <c r="AQ31" s="476">
        <f>SUM(AQ32:AQ34)</f>
        <v>1236125.92</v>
      </c>
      <c r="AR31" s="478">
        <f t="shared" si="12"/>
        <v>11115268.229999999</v>
      </c>
    </row>
    <row r="32" spans="1:44" x14ac:dyDescent="0.2">
      <c r="A32" s="355" t="s">
        <v>443</v>
      </c>
      <c r="B32" s="446">
        <v>0</v>
      </c>
      <c r="C32" s="446">
        <v>24909773</v>
      </c>
      <c r="D32" s="492">
        <f t="shared" si="2"/>
        <v>343020891.19003314</v>
      </c>
      <c r="E32" s="493">
        <f t="shared" si="3"/>
        <v>332636462.7946412</v>
      </c>
      <c r="F32" s="452">
        <f t="shared" si="14"/>
        <v>24909773</v>
      </c>
      <c r="G32" s="449">
        <v>0</v>
      </c>
      <c r="H32" s="449">
        <v>18396811</v>
      </c>
      <c r="I32" s="448">
        <f t="shared" si="4"/>
        <v>18396811</v>
      </c>
      <c r="J32" s="449">
        <v>0</v>
      </c>
      <c r="K32" s="449">
        <v>1999300</v>
      </c>
      <c r="L32" s="448">
        <f t="shared" si="5"/>
        <v>1999300</v>
      </c>
      <c r="M32" s="449">
        <v>0</v>
      </c>
      <c r="N32" s="449">
        <v>37681</v>
      </c>
      <c r="O32" s="448">
        <f t="shared" si="6"/>
        <v>37681</v>
      </c>
      <c r="P32" s="453">
        <f t="shared" si="13"/>
        <v>45343565</v>
      </c>
      <c r="Q32" s="456">
        <v>11574857.460000001</v>
      </c>
      <c r="R32" s="449">
        <v>9864186.7458962202</v>
      </c>
      <c r="S32" s="449">
        <v>176717613.24874499</v>
      </c>
      <c r="T32" s="449">
        <v>10384428.3953919</v>
      </c>
      <c r="U32" s="453">
        <f>SUM(Q32:T32)</f>
        <v>208541085.85003313</v>
      </c>
      <c r="V32" s="456">
        <v>644335</v>
      </c>
      <c r="W32" s="449">
        <v>8251328</v>
      </c>
      <c r="X32" s="449">
        <v>0</v>
      </c>
      <c r="Y32" s="449">
        <v>72657848</v>
      </c>
      <c r="Z32" s="453">
        <f>SUM(V32:Y32)</f>
        <v>81553511</v>
      </c>
      <c r="AA32" s="456">
        <v>0</v>
      </c>
      <c r="AB32" s="449">
        <v>0</v>
      </c>
      <c r="AC32" s="449">
        <v>0</v>
      </c>
      <c r="AD32" s="449">
        <v>0</v>
      </c>
      <c r="AE32" s="453">
        <f>SUM(AA32:AD32)</f>
        <v>0</v>
      </c>
      <c r="AF32" s="456">
        <v>0</v>
      </c>
      <c r="AG32" s="449">
        <v>322093.21000000002</v>
      </c>
      <c r="AH32" s="448">
        <f t="shared" si="10"/>
        <v>5176406.83</v>
      </c>
      <c r="AI32" s="449">
        <v>743101.96</v>
      </c>
      <c r="AJ32" s="449"/>
      <c r="AK32" s="449">
        <v>678342.64</v>
      </c>
      <c r="AL32" s="449">
        <v>59862.44</v>
      </c>
      <c r="AM32" s="448">
        <f t="shared" si="11"/>
        <v>602922.26</v>
      </c>
      <c r="AN32" s="449">
        <v>0</v>
      </c>
      <c r="AO32" s="449">
        <v>5116693.54</v>
      </c>
      <c r="AP32" s="449">
        <v>59713.29</v>
      </c>
      <c r="AQ32" s="449">
        <v>602922.26</v>
      </c>
      <c r="AR32" s="453">
        <f t="shared" si="12"/>
        <v>7582729.3399999999</v>
      </c>
    </row>
    <row r="33" spans="1:44" x14ac:dyDescent="0.2">
      <c r="A33" s="355" t="s">
        <v>444</v>
      </c>
      <c r="B33" s="446">
        <v>207107</v>
      </c>
      <c r="C33" s="446">
        <v>15593250</v>
      </c>
      <c r="D33" s="492">
        <f t="shared" si="2"/>
        <v>116635954.23055071</v>
      </c>
      <c r="E33" s="493">
        <f t="shared" si="3"/>
        <v>114854623.9705507</v>
      </c>
      <c r="F33" s="452">
        <f t="shared" si="14"/>
        <v>15800357</v>
      </c>
      <c r="G33" s="449">
        <v>250571</v>
      </c>
      <c r="H33" s="449">
        <v>11696726</v>
      </c>
      <c r="I33" s="448">
        <f t="shared" si="4"/>
        <v>11947297</v>
      </c>
      <c r="J33" s="449">
        <v>0</v>
      </c>
      <c r="K33" s="449">
        <v>1310638</v>
      </c>
      <c r="L33" s="448">
        <f t="shared" si="5"/>
        <v>1310638</v>
      </c>
      <c r="M33" s="449">
        <v>0</v>
      </c>
      <c r="N33" s="449">
        <v>24401</v>
      </c>
      <c r="O33" s="448">
        <f t="shared" si="6"/>
        <v>24401</v>
      </c>
      <c r="P33" s="453">
        <f t="shared" si="13"/>
        <v>29082693</v>
      </c>
      <c r="Q33" s="456">
        <v>6518402.7699999996</v>
      </c>
      <c r="R33" s="449">
        <v>5800939.9903587997</v>
      </c>
      <c r="S33" s="449">
        <v>64870157.320191897</v>
      </c>
      <c r="T33" s="449">
        <v>1781330.26</v>
      </c>
      <c r="U33" s="453">
        <f t="shared" si="7"/>
        <v>78970830.340550706</v>
      </c>
      <c r="V33" s="456">
        <v>119657</v>
      </c>
      <c r="W33" s="449">
        <v>0</v>
      </c>
      <c r="X33" s="449">
        <v>14676</v>
      </c>
      <c r="Y33" s="449">
        <v>4915559</v>
      </c>
      <c r="Z33" s="453">
        <f t="shared" si="8"/>
        <v>5049892</v>
      </c>
      <c r="AA33" s="456">
        <v>0</v>
      </c>
      <c r="AB33" s="449">
        <v>0</v>
      </c>
      <c r="AC33" s="449">
        <v>0</v>
      </c>
      <c r="AD33" s="449">
        <v>0</v>
      </c>
      <c r="AE33" s="453">
        <f t="shared" si="9"/>
        <v>0</v>
      </c>
      <c r="AF33" s="456">
        <v>0</v>
      </c>
      <c r="AG33" s="449">
        <v>360178.23</v>
      </c>
      <c r="AH33" s="448">
        <f t="shared" si="10"/>
        <v>809958.26</v>
      </c>
      <c r="AI33" s="449">
        <v>819827.95</v>
      </c>
      <c r="AJ33" s="449"/>
      <c r="AK33" s="449">
        <v>21405.46</v>
      </c>
      <c r="AL33" s="449">
        <v>57003.63</v>
      </c>
      <c r="AM33" s="448">
        <f t="shared" si="11"/>
        <v>1464165.3599999999</v>
      </c>
      <c r="AN33" s="449">
        <v>830961.7</v>
      </c>
      <c r="AO33" s="449">
        <v>46603.839999999997</v>
      </c>
      <c r="AP33" s="449">
        <v>763354.42</v>
      </c>
      <c r="AQ33" s="449">
        <v>633203.66</v>
      </c>
      <c r="AR33" s="453">
        <f t="shared" si="12"/>
        <v>3532538.8899999997</v>
      </c>
    </row>
    <row r="34" spans="1:44" x14ac:dyDescent="0.2">
      <c r="A34" s="355" t="s">
        <v>445</v>
      </c>
      <c r="B34" s="446">
        <v>0</v>
      </c>
      <c r="C34" s="446">
        <v>5515671</v>
      </c>
      <c r="D34" s="492">
        <f t="shared" si="2"/>
        <v>23931814.508193001</v>
      </c>
      <c r="E34" s="493">
        <f t="shared" si="3"/>
        <v>23284494.258193001</v>
      </c>
      <c r="F34" s="452">
        <f t="shared" si="14"/>
        <v>5515671</v>
      </c>
      <c r="G34" s="449">
        <v>0</v>
      </c>
      <c r="H34" s="449">
        <v>6254178</v>
      </c>
      <c r="I34" s="448">
        <f t="shared" si="4"/>
        <v>6254178</v>
      </c>
      <c r="J34" s="449">
        <v>0</v>
      </c>
      <c r="K34" s="449">
        <v>482437</v>
      </c>
      <c r="L34" s="448">
        <f t="shared" si="5"/>
        <v>482437</v>
      </c>
      <c r="M34" s="449">
        <v>0</v>
      </c>
      <c r="N34" s="449">
        <v>0</v>
      </c>
      <c r="O34" s="448">
        <f t="shared" si="6"/>
        <v>0</v>
      </c>
      <c r="P34" s="453">
        <f t="shared" si="13"/>
        <v>12252286</v>
      </c>
      <c r="Q34" s="456">
        <v>0</v>
      </c>
      <c r="R34" s="449">
        <v>0</v>
      </c>
      <c r="S34" s="449">
        <v>11018166.258192999</v>
      </c>
      <c r="T34" s="449">
        <v>647320.25</v>
      </c>
      <c r="U34" s="453">
        <f t="shared" si="7"/>
        <v>11665486.508192999</v>
      </c>
      <c r="V34" s="456">
        <v>0</v>
      </c>
      <c r="W34" s="449">
        <v>0</v>
      </c>
      <c r="X34" s="449">
        <v>14042</v>
      </c>
      <c r="Y34" s="449">
        <v>0</v>
      </c>
      <c r="Z34" s="453">
        <f t="shared" si="8"/>
        <v>14042</v>
      </c>
      <c r="AA34" s="456">
        <v>0</v>
      </c>
      <c r="AB34" s="449">
        <v>0</v>
      </c>
      <c r="AC34" s="449">
        <v>0</v>
      </c>
      <c r="AD34" s="449">
        <v>0</v>
      </c>
      <c r="AE34" s="453">
        <f t="shared" si="9"/>
        <v>0</v>
      </c>
      <c r="AF34" s="456"/>
      <c r="AG34" s="449"/>
      <c r="AH34" s="448">
        <f t="shared" si="10"/>
        <v>0</v>
      </c>
      <c r="AI34" s="449"/>
      <c r="AJ34" s="449"/>
      <c r="AK34" s="449"/>
      <c r="AL34" s="449"/>
      <c r="AM34" s="448">
        <f t="shared" si="11"/>
        <v>0</v>
      </c>
      <c r="AN34" s="449"/>
      <c r="AO34" s="449"/>
      <c r="AP34" s="449"/>
      <c r="AQ34" s="449"/>
      <c r="AR34" s="453">
        <f t="shared" si="12"/>
        <v>0</v>
      </c>
    </row>
    <row r="35" spans="1:44" x14ac:dyDescent="0.2">
      <c r="A35" s="473" t="s">
        <v>446</v>
      </c>
      <c r="B35" s="474">
        <f t="shared" ref="B35:N35" si="17">B36</f>
        <v>12185691</v>
      </c>
      <c r="C35" s="474">
        <f t="shared" si="17"/>
        <v>12852228</v>
      </c>
      <c r="D35" s="490">
        <f t="shared" si="2"/>
        <v>247797710.40000001</v>
      </c>
      <c r="E35" s="491">
        <f t="shared" si="3"/>
        <v>166633730.53</v>
      </c>
      <c r="F35" s="475">
        <f t="shared" si="14"/>
        <v>25037919</v>
      </c>
      <c r="G35" s="476">
        <f t="shared" si="17"/>
        <v>687198</v>
      </c>
      <c r="H35" s="476">
        <f t="shared" si="17"/>
        <v>1122850</v>
      </c>
      <c r="I35" s="477">
        <f t="shared" si="4"/>
        <v>1810048</v>
      </c>
      <c r="J35" s="476">
        <f t="shared" si="17"/>
        <v>0</v>
      </c>
      <c r="K35" s="476">
        <f t="shared" si="17"/>
        <v>0</v>
      </c>
      <c r="L35" s="477">
        <f t="shared" si="5"/>
        <v>0</v>
      </c>
      <c r="M35" s="476">
        <f t="shared" si="17"/>
        <v>0</v>
      </c>
      <c r="N35" s="476">
        <f t="shared" si="17"/>
        <v>0</v>
      </c>
      <c r="O35" s="477">
        <f t="shared" si="6"/>
        <v>0</v>
      </c>
      <c r="P35" s="478">
        <f t="shared" si="13"/>
        <v>26847967</v>
      </c>
      <c r="Q35" s="479">
        <f>Q36</f>
        <v>618269.71</v>
      </c>
      <c r="R35" s="476">
        <f>R36</f>
        <v>442236.56</v>
      </c>
      <c r="S35" s="476">
        <f>S36</f>
        <v>115056921.26000001</v>
      </c>
      <c r="T35" s="476">
        <f>T36</f>
        <v>81163979.870000005</v>
      </c>
      <c r="U35" s="478">
        <f t="shared" si="7"/>
        <v>197281407.40000001</v>
      </c>
      <c r="V35" s="479">
        <f>V36</f>
        <v>0</v>
      </c>
      <c r="W35" s="476">
        <f>W36</f>
        <v>12090374</v>
      </c>
      <c r="X35" s="476">
        <f>X36</f>
        <v>583113</v>
      </c>
      <c r="Y35" s="476">
        <f>Y36</f>
        <v>10756868</v>
      </c>
      <c r="Z35" s="478">
        <f t="shared" si="8"/>
        <v>23430355</v>
      </c>
      <c r="AA35" s="479">
        <f>AA36</f>
        <v>0</v>
      </c>
      <c r="AB35" s="476">
        <f>AB36</f>
        <v>0</v>
      </c>
      <c r="AC35" s="476">
        <f>AC36</f>
        <v>0</v>
      </c>
      <c r="AD35" s="476">
        <f>AD36</f>
        <v>0</v>
      </c>
      <c r="AE35" s="478">
        <f t="shared" si="9"/>
        <v>0</v>
      </c>
      <c r="AF35" s="479">
        <f t="shared" ref="AF35:AQ35" si="18">AF36</f>
        <v>0</v>
      </c>
      <c r="AG35" s="476">
        <f t="shared" si="18"/>
        <v>9152</v>
      </c>
      <c r="AH35" s="477">
        <f t="shared" si="10"/>
        <v>228829</v>
      </c>
      <c r="AI35" s="476">
        <f>AI36</f>
        <v>0</v>
      </c>
      <c r="AJ35" s="476"/>
      <c r="AK35" s="476">
        <f>AK36</f>
        <v>0</v>
      </c>
      <c r="AL35" s="476">
        <f>AL36</f>
        <v>0</v>
      </c>
      <c r="AM35" s="477">
        <f t="shared" si="11"/>
        <v>0</v>
      </c>
      <c r="AN35" s="476">
        <f t="shared" si="18"/>
        <v>0</v>
      </c>
      <c r="AO35" s="476">
        <f t="shared" si="18"/>
        <v>228829</v>
      </c>
      <c r="AP35" s="476">
        <f t="shared" si="18"/>
        <v>0</v>
      </c>
      <c r="AQ35" s="476">
        <f t="shared" si="18"/>
        <v>0</v>
      </c>
      <c r="AR35" s="478">
        <f t="shared" si="12"/>
        <v>237981</v>
      </c>
    </row>
    <row r="36" spans="1:44" x14ac:dyDescent="0.2">
      <c r="A36" s="355" t="s">
        <v>447</v>
      </c>
      <c r="B36" s="446">
        <v>12185691</v>
      </c>
      <c r="C36" s="446">
        <v>12852228</v>
      </c>
      <c r="D36" s="492">
        <f t="shared" si="2"/>
        <v>247797710.40000001</v>
      </c>
      <c r="E36" s="493">
        <f t="shared" si="3"/>
        <v>166633730.53</v>
      </c>
      <c r="F36" s="452">
        <f t="shared" si="14"/>
        <v>25037919</v>
      </c>
      <c r="G36" s="449">
        <v>687198</v>
      </c>
      <c r="H36" s="449">
        <v>1122850</v>
      </c>
      <c r="I36" s="448">
        <f t="shared" si="4"/>
        <v>1810048</v>
      </c>
      <c r="J36" s="449">
        <v>0</v>
      </c>
      <c r="K36" s="449">
        <v>0</v>
      </c>
      <c r="L36" s="448">
        <f t="shared" si="5"/>
        <v>0</v>
      </c>
      <c r="M36" s="449">
        <v>0</v>
      </c>
      <c r="N36" s="449">
        <v>0</v>
      </c>
      <c r="O36" s="448">
        <f t="shared" si="6"/>
        <v>0</v>
      </c>
      <c r="P36" s="453">
        <f t="shared" si="13"/>
        <v>26847967</v>
      </c>
      <c r="Q36" s="456">
        <v>618269.71</v>
      </c>
      <c r="R36" s="449">
        <v>442236.56</v>
      </c>
      <c r="S36" s="449">
        <v>115056921.26000001</v>
      </c>
      <c r="T36" s="449">
        <v>81163979.870000005</v>
      </c>
      <c r="U36" s="453">
        <f t="shared" si="7"/>
        <v>197281407.40000001</v>
      </c>
      <c r="V36" s="456">
        <v>0</v>
      </c>
      <c r="W36" s="449">
        <v>12090374</v>
      </c>
      <c r="X36" s="449">
        <v>583113</v>
      </c>
      <c r="Y36" s="449">
        <v>10756868</v>
      </c>
      <c r="Z36" s="453">
        <f t="shared" si="8"/>
        <v>23430355</v>
      </c>
      <c r="AA36" s="456">
        <v>0</v>
      </c>
      <c r="AB36" s="449">
        <v>0</v>
      </c>
      <c r="AC36" s="449">
        <v>0</v>
      </c>
      <c r="AD36" s="449">
        <v>0</v>
      </c>
      <c r="AE36" s="453">
        <f t="shared" si="9"/>
        <v>0</v>
      </c>
      <c r="AF36" s="456">
        <v>0</v>
      </c>
      <c r="AG36" s="449">
        <v>9152</v>
      </c>
      <c r="AH36" s="448">
        <f t="shared" si="10"/>
        <v>228829</v>
      </c>
      <c r="AI36" s="449">
        <v>0</v>
      </c>
      <c r="AJ36" s="449"/>
      <c r="AK36" s="449">
        <v>0</v>
      </c>
      <c r="AL36" s="449">
        <v>0</v>
      </c>
      <c r="AM36" s="448">
        <f t="shared" si="11"/>
        <v>0</v>
      </c>
      <c r="AN36" s="449">
        <v>0</v>
      </c>
      <c r="AO36" s="449">
        <v>228829</v>
      </c>
      <c r="AP36" s="449">
        <v>0</v>
      </c>
      <c r="AQ36" s="449">
        <v>0</v>
      </c>
      <c r="AR36" s="453">
        <f t="shared" si="12"/>
        <v>237981</v>
      </c>
    </row>
    <row r="37" spans="1:44" x14ac:dyDescent="0.2">
      <c r="A37" s="473" t="s">
        <v>448</v>
      </c>
      <c r="B37" s="474">
        <f t="shared" ref="B37:N37" si="19">B38</f>
        <v>16292841.51</v>
      </c>
      <c r="C37" s="474">
        <f t="shared" si="19"/>
        <v>46960354.560000002</v>
      </c>
      <c r="D37" s="490">
        <f t="shared" si="2"/>
        <v>791225842.57999992</v>
      </c>
      <c r="E37" s="491">
        <f t="shared" si="3"/>
        <v>669856154.58000004</v>
      </c>
      <c r="F37" s="475">
        <f t="shared" si="14"/>
        <v>63253196.07</v>
      </c>
      <c r="G37" s="476">
        <f t="shared" si="19"/>
        <v>0</v>
      </c>
      <c r="H37" s="476">
        <f t="shared" si="19"/>
        <v>4290549.04</v>
      </c>
      <c r="I37" s="477">
        <f t="shared" si="4"/>
        <v>4290549.04</v>
      </c>
      <c r="J37" s="476">
        <f t="shared" si="19"/>
        <v>5989264.96</v>
      </c>
      <c r="K37" s="476">
        <f t="shared" si="19"/>
        <v>15258566.1</v>
      </c>
      <c r="L37" s="477">
        <f t="shared" si="5"/>
        <v>21247831.059999999</v>
      </c>
      <c r="M37" s="476">
        <f t="shared" si="19"/>
        <v>0</v>
      </c>
      <c r="N37" s="476">
        <f t="shared" si="19"/>
        <v>0</v>
      </c>
      <c r="O37" s="477">
        <f t="shared" si="6"/>
        <v>0</v>
      </c>
      <c r="P37" s="478">
        <f t="shared" si="13"/>
        <v>88791576.170000002</v>
      </c>
      <c r="Q37" s="479">
        <f>Q38</f>
        <v>6425622.9699999997</v>
      </c>
      <c r="R37" s="476">
        <f>R38</f>
        <v>12826590.24</v>
      </c>
      <c r="S37" s="476">
        <f>S38</f>
        <v>508482260.62</v>
      </c>
      <c r="T37" s="476">
        <f>T38</f>
        <v>121369688</v>
      </c>
      <c r="U37" s="478">
        <f t="shared" si="7"/>
        <v>649104161.82999992</v>
      </c>
      <c r="V37" s="479">
        <f>V38</f>
        <v>0</v>
      </c>
      <c r="W37" s="476">
        <f>W38</f>
        <v>44545219.5</v>
      </c>
      <c r="X37" s="476">
        <f>X38</f>
        <v>3863419.46</v>
      </c>
      <c r="Y37" s="476">
        <f>Y38</f>
        <v>0</v>
      </c>
      <c r="Z37" s="478">
        <f t="shared" si="8"/>
        <v>48408638.960000001</v>
      </c>
      <c r="AA37" s="479">
        <f>AA38</f>
        <v>0</v>
      </c>
      <c r="AB37" s="476">
        <f>AB38</f>
        <v>2997544.22</v>
      </c>
      <c r="AC37" s="476">
        <f>AC38</f>
        <v>19524.400000000001</v>
      </c>
      <c r="AD37" s="476">
        <f>AD38</f>
        <v>0</v>
      </c>
      <c r="AE37" s="478">
        <f t="shared" si="9"/>
        <v>3017068.62</v>
      </c>
      <c r="AF37" s="479">
        <f t="shared" ref="AF37:AQ37" si="20">AF38</f>
        <v>25048</v>
      </c>
      <c r="AG37" s="476">
        <f t="shared" si="20"/>
        <v>553081</v>
      </c>
      <c r="AH37" s="477">
        <f t="shared" si="10"/>
        <v>698400</v>
      </c>
      <c r="AI37" s="476">
        <f>AI38</f>
        <v>0</v>
      </c>
      <c r="AJ37" s="476"/>
      <c r="AK37" s="476">
        <f>AK38</f>
        <v>550000</v>
      </c>
      <c r="AL37" s="476">
        <f>AL38</f>
        <v>35518</v>
      </c>
      <c r="AM37" s="477">
        <f t="shared" si="11"/>
        <v>42350</v>
      </c>
      <c r="AN37" s="476">
        <f t="shared" si="20"/>
        <v>42350</v>
      </c>
      <c r="AO37" s="476">
        <f t="shared" si="20"/>
        <v>698400</v>
      </c>
      <c r="AP37" s="476">
        <f t="shared" si="20"/>
        <v>0</v>
      </c>
      <c r="AQ37" s="476">
        <f t="shared" si="20"/>
        <v>0</v>
      </c>
      <c r="AR37" s="478">
        <f t="shared" si="12"/>
        <v>1904397</v>
      </c>
    </row>
    <row r="38" spans="1:44" x14ac:dyDescent="0.2">
      <c r="A38" s="355" t="s">
        <v>449</v>
      </c>
      <c r="B38" s="446">
        <v>16292841.51</v>
      </c>
      <c r="C38" s="446">
        <v>46960354.560000002</v>
      </c>
      <c r="D38" s="492">
        <f t="shared" si="2"/>
        <v>791225842.57999992</v>
      </c>
      <c r="E38" s="493">
        <f t="shared" si="3"/>
        <v>669856154.58000004</v>
      </c>
      <c r="F38" s="452">
        <f t="shared" si="14"/>
        <v>63253196.07</v>
      </c>
      <c r="G38" s="449"/>
      <c r="H38" s="449">
        <v>4290549.04</v>
      </c>
      <c r="I38" s="448">
        <f t="shared" si="4"/>
        <v>4290549.04</v>
      </c>
      <c r="J38" s="449">
        <v>5989264.96</v>
      </c>
      <c r="K38" s="449">
        <v>15258566.1</v>
      </c>
      <c r="L38" s="448">
        <f t="shared" si="5"/>
        <v>21247831.059999999</v>
      </c>
      <c r="M38" s="449"/>
      <c r="N38" s="449"/>
      <c r="O38" s="448">
        <f t="shared" si="6"/>
        <v>0</v>
      </c>
      <c r="P38" s="453">
        <f t="shared" si="13"/>
        <v>88791576.170000002</v>
      </c>
      <c r="Q38" s="456">
        <v>6425622.9699999997</v>
      </c>
      <c r="R38" s="449">
        <v>12826590.24</v>
      </c>
      <c r="S38" s="449">
        <v>508482260.62</v>
      </c>
      <c r="T38" s="449">
        <v>121369688</v>
      </c>
      <c r="U38" s="453">
        <f t="shared" si="7"/>
        <v>649104161.82999992</v>
      </c>
      <c r="V38" s="456"/>
      <c r="W38" s="449">
        <v>44545219.5</v>
      </c>
      <c r="X38" s="449">
        <v>3863419.46</v>
      </c>
      <c r="Y38" s="449"/>
      <c r="Z38" s="453">
        <f t="shared" si="8"/>
        <v>48408638.960000001</v>
      </c>
      <c r="AA38" s="456"/>
      <c r="AB38" s="449">
        <v>2997544.22</v>
      </c>
      <c r="AC38" s="449">
        <v>19524.400000000001</v>
      </c>
      <c r="AD38" s="449"/>
      <c r="AE38" s="453">
        <f t="shared" si="9"/>
        <v>3017068.62</v>
      </c>
      <c r="AF38" s="456">
        <v>25048</v>
      </c>
      <c r="AG38" s="449">
        <v>553081</v>
      </c>
      <c r="AH38" s="448">
        <f t="shared" si="10"/>
        <v>698400</v>
      </c>
      <c r="AI38" s="449"/>
      <c r="AJ38" s="449"/>
      <c r="AK38" s="449">
        <v>550000</v>
      </c>
      <c r="AL38" s="449">
        <v>35518</v>
      </c>
      <c r="AM38" s="448">
        <f t="shared" si="11"/>
        <v>42350</v>
      </c>
      <c r="AN38" s="449">
        <v>42350</v>
      </c>
      <c r="AO38" s="449">
        <v>698400</v>
      </c>
      <c r="AP38" s="449"/>
      <c r="AQ38" s="449"/>
      <c r="AR38" s="453">
        <f t="shared" si="12"/>
        <v>1904397</v>
      </c>
    </row>
    <row r="39" spans="1:44" x14ac:dyDescent="0.2">
      <c r="A39" s="473" t="s">
        <v>450</v>
      </c>
      <c r="B39" s="474">
        <f t="shared" ref="B39:N39" si="21">B40</f>
        <v>36997475.138691992</v>
      </c>
      <c r="C39" s="474">
        <f t="shared" si="21"/>
        <v>47160846.802358061</v>
      </c>
      <c r="D39" s="490">
        <f t="shared" si="2"/>
        <v>478814402.79736823</v>
      </c>
      <c r="E39" s="491">
        <f t="shared" si="3"/>
        <v>393063945.33136821</v>
      </c>
      <c r="F39" s="475">
        <f t="shared" si="14"/>
        <v>84158321.941050053</v>
      </c>
      <c r="G39" s="476">
        <f t="shared" si="21"/>
        <v>5634875.6634396389</v>
      </c>
      <c r="H39" s="476">
        <f t="shared" si="21"/>
        <v>18122558.232485075</v>
      </c>
      <c r="I39" s="477">
        <f t="shared" si="4"/>
        <v>23757433.895924713</v>
      </c>
      <c r="J39" s="476">
        <f t="shared" si="21"/>
        <v>11724964.213125</v>
      </c>
      <c r="K39" s="476">
        <f t="shared" si="21"/>
        <v>32400655.037062496</v>
      </c>
      <c r="L39" s="477">
        <f t="shared" si="5"/>
        <v>44125619.250187494</v>
      </c>
      <c r="M39" s="476">
        <f t="shared" si="21"/>
        <v>0</v>
      </c>
      <c r="N39" s="476">
        <f t="shared" si="21"/>
        <v>0</v>
      </c>
      <c r="O39" s="477">
        <f t="shared" si="6"/>
        <v>0</v>
      </c>
      <c r="P39" s="478">
        <f t="shared" si="13"/>
        <v>152041375.08716226</v>
      </c>
      <c r="Q39" s="479">
        <f>Q40</f>
        <v>38326935.719999999</v>
      </c>
      <c r="R39" s="476">
        <f>R40</f>
        <v>23704109.136</v>
      </c>
      <c r="S39" s="476">
        <f>S40</f>
        <v>141937029.639</v>
      </c>
      <c r="T39" s="476">
        <f>T40</f>
        <v>85750457.466000006</v>
      </c>
      <c r="U39" s="478">
        <f t="shared" si="7"/>
        <v>289718531.96100003</v>
      </c>
      <c r="V39" s="479">
        <f>V40</f>
        <v>1700788.1300000004</v>
      </c>
      <c r="W39" s="476">
        <f>W40</f>
        <v>10594772.540534925</v>
      </c>
      <c r="X39" s="476">
        <f>X40</f>
        <v>7696310.3579999991</v>
      </c>
      <c r="Y39" s="476">
        <f>Y40</f>
        <v>421052.6</v>
      </c>
      <c r="Z39" s="478">
        <f t="shared" si="8"/>
        <v>20412923.628534928</v>
      </c>
      <c r="AA39" s="479">
        <f>AA40</f>
        <v>13291340.980671048</v>
      </c>
      <c r="AB39" s="476">
        <f>AB40</f>
        <v>1312029</v>
      </c>
      <c r="AC39" s="476">
        <f>AC40</f>
        <v>0</v>
      </c>
      <c r="AD39" s="476">
        <f>AD40</f>
        <v>1179156</v>
      </c>
      <c r="AE39" s="478">
        <f t="shared" si="9"/>
        <v>15782525.980671048</v>
      </c>
      <c r="AF39" s="479">
        <f t="shared" ref="AF39:AQ39" si="22">AF40</f>
        <v>38547.839999999997</v>
      </c>
      <c r="AG39" s="476">
        <f t="shared" si="22"/>
        <v>187861.03</v>
      </c>
      <c r="AH39" s="477">
        <f t="shared" si="10"/>
        <v>314995.03000000003</v>
      </c>
      <c r="AI39" s="476">
        <f>AI40</f>
        <v>25065.25</v>
      </c>
      <c r="AJ39" s="476"/>
      <c r="AK39" s="476">
        <f>AK40</f>
        <v>0</v>
      </c>
      <c r="AL39" s="476">
        <f>AL40</f>
        <v>32648.59</v>
      </c>
      <c r="AM39" s="477">
        <f t="shared" si="11"/>
        <v>259928.40000000008</v>
      </c>
      <c r="AN39" s="476">
        <f t="shared" si="22"/>
        <v>82997.86</v>
      </c>
      <c r="AO39" s="476">
        <f t="shared" si="22"/>
        <v>314609.03000000003</v>
      </c>
      <c r="AP39" s="476">
        <f t="shared" si="22"/>
        <v>386</v>
      </c>
      <c r="AQ39" s="476">
        <f t="shared" si="22"/>
        <v>176930.54000000007</v>
      </c>
      <c r="AR39" s="478">
        <f t="shared" si="12"/>
        <v>859046.14000000013</v>
      </c>
    </row>
    <row r="40" spans="1:44" x14ac:dyDescent="0.2">
      <c r="A40" s="355" t="s">
        <v>451</v>
      </c>
      <c r="B40" s="446">
        <v>36997475.138691992</v>
      </c>
      <c r="C40" s="446">
        <v>47160846.802358061</v>
      </c>
      <c r="D40" s="492">
        <f t="shared" si="2"/>
        <v>478814402.79736823</v>
      </c>
      <c r="E40" s="493">
        <f t="shared" si="3"/>
        <v>393063945.33136821</v>
      </c>
      <c r="F40" s="452">
        <f t="shared" si="14"/>
        <v>84158321.941050053</v>
      </c>
      <c r="G40" s="449">
        <v>5634875.6634396389</v>
      </c>
      <c r="H40" s="449">
        <v>18122558.232485075</v>
      </c>
      <c r="I40" s="448">
        <f t="shared" si="4"/>
        <v>23757433.895924713</v>
      </c>
      <c r="J40" s="449">
        <f>39083214.04375*0.3</f>
        <v>11724964.213125</v>
      </c>
      <c r="K40" s="449">
        <f>(15345675.94+104381471.73-J40)*0.3</f>
        <v>32400655.037062496</v>
      </c>
      <c r="L40" s="448">
        <f t="shared" si="5"/>
        <v>44125619.250187494</v>
      </c>
      <c r="M40" s="447"/>
      <c r="N40" s="447"/>
      <c r="O40" s="448">
        <f t="shared" si="6"/>
        <v>0</v>
      </c>
      <c r="P40" s="453">
        <f t="shared" si="13"/>
        <v>152041375.08716226</v>
      </c>
      <c r="Q40" s="457">
        <v>38326935.719999999</v>
      </c>
      <c r="R40" s="447">
        <v>23704109.136</v>
      </c>
      <c r="S40" s="447">
        <v>141937029.639</v>
      </c>
      <c r="T40" s="447">
        <v>85750457.466000006</v>
      </c>
      <c r="U40" s="453">
        <f t="shared" si="7"/>
        <v>289718531.96100003</v>
      </c>
      <c r="V40" s="456">
        <v>1700788.1300000004</v>
      </c>
      <c r="W40" s="449">
        <f>11152392.1479315*0.95</f>
        <v>10594772.540534925</v>
      </c>
      <c r="X40" s="449">
        <f>15343618.42*0.3+10310749.44*0.3</f>
        <v>7696310.3579999991</v>
      </c>
      <c r="Y40" s="449">
        <v>421052.6</v>
      </c>
      <c r="Z40" s="453">
        <f t="shared" si="8"/>
        <v>20412923.628534928</v>
      </c>
      <c r="AA40" s="456">
        <f>2838493.09488013*0.95+W40</f>
        <v>13291340.980671048</v>
      </c>
      <c r="AB40" s="449">
        <v>1312029</v>
      </c>
      <c r="AC40" s="449">
        <v>0</v>
      </c>
      <c r="AD40" s="449">
        <v>1179156</v>
      </c>
      <c r="AE40" s="453">
        <f t="shared" si="9"/>
        <v>15782525.980671048</v>
      </c>
      <c r="AF40" s="456">
        <v>38547.839999999997</v>
      </c>
      <c r="AG40" s="449">
        <v>187861.03</v>
      </c>
      <c r="AH40" s="448">
        <f t="shared" si="10"/>
        <v>314995.03000000003</v>
      </c>
      <c r="AI40" s="449">
        <v>25065.25</v>
      </c>
      <c r="AJ40" s="449"/>
      <c r="AK40" s="449"/>
      <c r="AL40" s="449">
        <v>32648.59</v>
      </c>
      <c r="AM40" s="448">
        <f t="shared" si="11"/>
        <v>259928.40000000008</v>
      </c>
      <c r="AN40" s="449">
        <v>82997.86</v>
      </c>
      <c r="AO40" s="449">
        <v>314609.03000000003</v>
      </c>
      <c r="AP40" s="449">
        <v>386</v>
      </c>
      <c r="AQ40" s="449">
        <v>176930.54000000007</v>
      </c>
      <c r="AR40" s="453">
        <f t="shared" si="12"/>
        <v>859046.14000000013</v>
      </c>
    </row>
    <row r="41" spans="1:44" x14ac:dyDescent="0.2">
      <c r="A41" s="468" t="s">
        <v>452</v>
      </c>
      <c r="B41" s="469"/>
      <c r="C41" s="469"/>
      <c r="D41" s="496">
        <f>P41+U41+Z41+AE41+AR41</f>
        <v>1576634171.4199998</v>
      </c>
      <c r="E41" s="497">
        <f t="shared" si="3"/>
        <v>1188548027.0599999</v>
      </c>
      <c r="F41" s="463">
        <f t="shared" si="14"/>
        <v>0</v>
      </c>
      <c r="G41" s="470"/>
      <c r="H41" s="470"/>
      <c r="I41" s="465">
        <f t="shared" si="4"/>
        <v>0</v>
      </c>
      <c r="J41" s="470"/>
      <c r="K41" s="470"/>
      <c r="L41" s="465">
        <f t="shared" si="5"/>
        <v>0</v>
      </c>
      <c r="M41" s="470"/>
      <c r="N41" s="470"/>
      <c r="O41" s="465">
        <f t="shared" si="6"/>
        <v>0</v>
      </c>
      <c r="P41" s="466">
        <f>P42+P45+P47</f>
        <v>66898000</v>
      </c>
      <c r="Q41" s="471"/>
      <c r="R41" s="470"/>
      <c r="S41" s="470">
        <f>S42+S45+S47</f>
        <v>806525199.46000004</v>
      </c>
      <c r="T41" s="470">
        <f>T42+T45+T47</f>
        <v>388086144.36000001</v>
      </c>
      <c r="U41" s="472">
        <f>U42+U45+U47</f>
        <v>1194611343.8199999</v>
      </c>
      <c r="V41" s="471"/>
      <c r="W41" s="470"/>
      <c r="X41" s="470"/>
      <c r="Y41" s="470"/>
      <c r="Z41" s="472">
        <f>Z42+Z45+Z47</f>
        <v>307307000</v>
      </c>
      <c r="AA41" s="471"/>
      <c r="AB41" s="470"/>
      <c r="AC41" s="470"/>
      <c r="AD41" s="470"/>
      <c r="AE41" s="472"/>
      <c r="AF41" s="471">
        <f>AF42+AF45+AF47</f>
        <v>769854.79999999993</v>
      </c>
      <c r="AG41" s="470">
        <f>AG42+AG45+AG47</f>
        <v>1181459.3</v>
      </c>
      <c r="AH41" s="465">
        <f>AO41+AP41</f>
        <v>4027015.3</v>
      </c>
      <c r="AI41" s="470">
        <f>AI42+AI45+AI47</f>
        <v>885193.7</v>
      </c>
      <c r="AJ41" s="470">
        <f>AJ42+AJ45+AJ47</f>
        <v>954304.5</v>
      </c>
      <c r="AK41" s="470"/>
      <c r="AL41" s="470"/>
      <c r="AM41" s="465">
        <f>AN41+AQ41</f>
        <v>0</v>
      </c>
      <c r="AN41" s="470"/>
      <c r="AO41" s="470">
        <f>AO42+AO45+AO47</f>
        <v>4027015.3</v>
      </c>
      <c r="AP41" s="470"/>
      <c r="AQ41" s="470"/>
      <c r="AR41" s="466">
        <f>SUM(AF41:AM41)</f>
        <v>7817827.6000000006</v>
      </c>
    </row>
    <row r="42" spans="1:44" x14ac:dyDescent="0.2">
      <c r="A42" s="473" t="s">
        <v>453</v>
      </c>
      <c r="B42" s="480">
        <f>SUM(B43:B44)</f>
        <v>0</v>
      </c>
      <c r="C42" s="480">
        <f t="shared" ref="C42:R42" si="23">SUM(C43:C44)</f>
        <v>0</v>
      </c>
      <c r="D42" s="498">
        <f t="shared" si="2"/>
        <v>723422306.41999996</v>
      </c>
      <c r="E42" s="499">
        <f t="shared" si="3"/>
        <v>626519011.06000006</v>
      </c>
      <c r="F42" s="475">
        <f t="shared" si="14"/>
        <v>0</v>
      </c>
      <c r="G42" s="481">
        <f t="shared" si="23"/>
        <v>0</v>
      </c>
      <c r="H42" s="481">
        <f t="shared" si="23"/>
        <v>0</v>
      </c>
      <c r="I42" s="477">
        <f t="shared" si="4"/>
        <v>0</v>
      </c>
      <c r="J42" s="481">
        <f t="shared" si="23"/>
        <v>0</v>
      </c>
      <c r="K42" s="481">
        <f t="shared" si="23"/>
        <v>0</v>
      </c>
      <c r="L42" s="477">
        <f t="shared" si="5"/>
        <v>0</v>
      </c>
      <c r="M42" s="481">
        <f t="shared" si="23"/>
        <v>0</v>
      </c>
      <c r="N42" s="481">
        <f t="shared" si="23"/>
        <v>0</v>
      </c>
      <c r="O42" s="477">
        <f t="shared" si="6"/>
        <v>0</v>
      </c>
      <c r="P42" s="478">
        <v>33540000</v>
      </c>
      <c r="Q42" s="482">
        <f t="shared" si="23"/>
        <v>0</v>
      </c>
      <c r="R42" s="481">
        <f t="shared" si="23"/>
        <v>0</v>
      </c>
      <c r="S42" s="481">
        <f>SUM(S43:S44)</f>
        <v>413730343.45999998</v>
      </c>
      <c r="T42" s="481">
        <f>SUM(T43:T44)</f>
        <v>96903295.359999999</v>
      </c>
      <c r="U42" s="483">
        <f>SUM(U43:U44)</f>
        <v>510633638.81999999</v>
      </c>
      <c r="V42" s="482"/>
      <c r="W42" s="481"/>
      <c r="X42" s="481"/>
      <c r="Y42" s="481"/>
      <c r="Z42" s="483">
        <v>175158000</v>
      </c>
      <c r="AA42" s="482"/>
      <c r="AB42" s="481"/>
      <c r="AC42" s="481"/>
      <c r="AD42" s="481"/>
      <c r="AE42" s="483"/>
      <c r="AF42" s="482">
        <f t="shared" ref="AF42:AP42" si="24">SUM(AF43:AF44)</f>
        <v>429507.1</v>
      </c>
      <c r="AG42" s="481">
        <f t="shared" si="24"/>
        <v>432721</v>
      </c>
      <c r="AH42" s="477">
        <f>AO42+AP42</f>
        <v>2608072.7000000002</v>
      </c>
      <c r="AI42" s="481">
        <f>SUM(AI43:AI44)</f>
        <v>348899.3</v>
      </c>
      <c r="AJ42" s="481">
        <f t="shared" si="24"/>
        <v>271467.5</v>
      </c>
      <c r="AK42" s="481">
        <f>SUM(AK43:AK44)</f>
        <v>0</v>
      </c>
      <c r="AL42" s="481">
        <f>SUM(AL43:AL44)</f>
        <v>0</v>
      </c>
      <c r="AM42" s="477">
        <f t="shared" si="11"/>
        <v>0</v>
      </c>
      <c r="AN42" s="481">
        <f t="shared" si="24"/>
        <v>0</v>
      </c>
      <c r="AO42" s="481">
        <f t="shared" si="24"/>
        <v>2608072.7000000002</v>
      </c>
      <c r="AP42" s="481">
        <f t="shared" si="24"/>
        <v>0</v>
      </c>
      <c r="AQ42" s="481"/>
      <c r="AR42" s="478">
        <f t="shared" si="12"/>
        <v>4090667.6</v>
      </c>
    </row>
    <row r="43" spans="1:44" s="551" customFormat="1" x14ac:dyDescent="0.2">
      <c r="A43" s="542" t="s">
        <v>454</v>
      </c>
      <c r="B43" s="543">
        <v>0</v>
      </c>
      <c r="C43" s="543">
        <v>0</v>
      </c>
      <c r="D43" s="544">
        <f t="shared" si="2"/>
        <v>429678577.89999998</v>
      </c>
      <c r="E43" s="545">
        <f t="shared" si="3"/>
        <v>344318460.89999998</v>
      </c>
      <c r="F43" s="546"/>
      <c r="G43" s="547"/>
      <c r="H43" s="547"/>
      <c r="I43" s="548"/>
      <c r="J43" s="547"/>
      <c r="K43" s="547"/>
      <c r="L43" s="548"/>
      <c r="M43" s="547"/>
      <c r="N43" s="547"/>
      <c r="O43" s="548"/>
      <c r="P43" s="549"/>
      <c r="Q43" s="550"/>
      <c r="R43" s="547"/>
      <c r="S43" s="547">
        <v>341115803</v>
      </c>
      <c r="T43" s="547">
        <v>85360117</v>
      </c>
      <c r="U43" s="549">
        <v>426475920</v>
      </c>
      <c r="V43" s="550"/>
      <c r="W43" s="547"/>
      <c r="X43" s="547"/>
      <c r="Y43" s="547"/>
      <c r="Z43" s="549"/>
      <c r="AA43" s="550"/>
      <c r="AB43" s="547"/>
      <c r="AC43" s="547"/>
      <c r="AD43" s="547"/>
      <c r="AE43" s="549"/>
      <c r="AF43" s="550">
        <v>300648.09999999998</v>
      </c>
      <c r="AG43" s="547">
        <v>363261.9</v>
      </c>
      <c r="AH43" s="548">
        <f t="shared" si="10"/>
        <v>2194257.7000000002</v>
      </c>
      <c r="AI43" s="547">
        <v>210961</v>
      </c>
      <c r="AJ43" s="547">
        <v>133529.20000000001</v>
      </c>
      <c r="AK43" s="547"/>
      <c r="AL43" s="547"/>
      <c r="AM43" s="548">
        <f>AN43+AQ43</f>
        <v>0</v>
      </c>
      <c r="AN43" s="547"/>
      <c r="AO43" s="547">
        <v>2194257.7000000002</v>
      </c>
      <c r="AP43" s="547"/>
      <c r="AQ43" s="547"/>
      <c r="AR43" s="549">
        <f t="shared" si="12"/>
        <v>3202657.9000000004</v>
      </c>
    </row>
    <row r="44" spans="1:44" s="551" customFormat="1" x14ac:dyDescent="0.2">
      <c r="A44" s="542" t="s">
        <v>455</v>
      </c>
      <c r="B44" s="543"/>
      <c r="C44" s="543"/>
      <c r="D44" s="544">
        <f t="shared" si="2"/>
        <v>85045728.519999996</v>
      </c>
      <c r="E44" s="545">
        <f t="shared" si="3"/>
        <v>73502550.159999996</v>
      </c>
      <c r="F44" s="546"/>
      <c r="G44" s="547"/>
      <c r="H44" s="547"/>
      <c r="I44" s="548"/>
      <c r="J44" s="547"/>
      <c r="K44" s="547"/>
      <c r="L44" s="548"/>
      <c r="M44" s="547"/>
      <c r="N44" s="547"/>
      <c r="O44" s="548"/>
      <c r="P44" s="549"/>
      <c r="Q44" s="550"/>
      <c r="R44" s="547"/>
      <c r="S44" s="547">
        <v>72614540.459999993</v>
      </c>
      <c r="T44" s="547">
        <f>U44-S44</f>
        <v>11543178.359999999</v>
      </c>
      <c r="U44" s="549">
        <v>84157718.819999993</v>
      </c>
      <c r="V44" s="550"/>
      <c r="W44" s="547"/>
      <c r="X44" s="547"/>
      <c r="Y44" s="547"/>
      <c r="Z44" s="549"/>
      <c r="AA44" s="550"/>
      <c r="AB44" s="547"/>
      <c r="AC44" s="547"/>
      <c r="AD44" s="547"/>
      <c r="AE44" s="549"/>
      <c r="AF44" s="550">
        <v>128859</v>
      </c>
      <c r="AG44" s="547">
        <v>69459.100000000006</v>
      </c>
      <c r="AH44" s="548">
        <f>AO44+AP44</f>
        <v>413815</v>
      </c>
      <c r="AI44" s="547">
        <v>137938.29999999999</v>
      </c>
      <c r="AJ44" s="547">
        <v>137938.29999999999</v>
      </c>
      <c r="AK44" s="547"/>
      <c r="AL44" s="547"/>
      <c r="AM44" s="548">
        <f t="shared" si="11"/>
        <v>0</v>
      </c>
      <c r="AN44" s="547"/>
      <c r="AO44" s="547">
        <v>413815</v>
      </c>
      <c r="AP44" s="547"/>
      <c r="AQ44" s="547"/>
      <c r="AR44" s="549">
        <f t="shared" si="12"/>
        <v>888009.7</v>
      </c>
    </row>
    <row r="45" spans="1:44" x14ac:dyDescent="0.2">
      <c r="A45" s="473" t="s">
        <v>456</v>
      </c>
      <c r="B45" s="474"/>
      <c r="C45" s="474"/>
      <c r="D45" s="490">
        <f t="shared" si="2"/>
        <v>207825498.5</v>
      </c>
      <c r="E45" s="491">
        <f t="shared" si="3"/>
        <v>169342703.5</v>
      </c>
      <c r="F45" s="475">
        <f>SUM(B45:C45)</f>
        <v>0</v>
      </c>
      <c r="G45" s="476"/>
      <c r="H45" s="476"/>
      <c r="I45" s="477">
        <f t="shared" si="4"/>
        <v>0</v>
      </c>
      <c r="J45" s="476"/>
      <c r="K45" s="476"/>
      <c r="L45" s="477">
        <f t="shared" si="5"/>
        <v>0</v>
      </c>
      <c r="M45" s="476"/>
      <c r="N45" s="476"/>
      <c r="O45" s="477">
        <f t="shared" si="6"/>
        <v>0</v>
      </c>
      <c r="P45" s="478">
        <v>11349000</v>
      </c>
      <c r="Q45" s="479"/>
      <c r="R45" s="476"/>
      <c r="S45" s="476">
        <f>S46</f>
        <v>93915818</v>
      </c>
      <c r="T45" s="476">
        <f>T46</f>
        <v>38482795</v>
      </c>
      <c r="U45" s="478">
        <f>U46</f>
        <v>132398613</v>
      </c>
      <c r="V45" s="479"/>
      <c r="W45" s="476"/>
      <c r="X45" s="476"/>
      <c r="Y45" s="476"/>
      <c r="Z45" s="478">
        <v>62671000</v>
      </c>
      <c r="AA45" s="479"/>
      <c r="AB45" s="476"/>
      <c r="AC45" s="476"/>
      <c r="AD45" s="476"/>
      <c r="AE45" s="478"/>
      <c r="AF45" s="479">
        <v>87002.6</v>
      </c>
      <c r="AG45" s="476">
        <v>219305.8</v>
      </c>
      <c r="AH45" s="477">
        <f t="shared" si="10"/>
        <v>484902.8</v>
      </c>
      <c r="AI45" s="476">
        <v>470334.2</v>
      </c>
      <c r="AJ45" s="476">
        <v>145340.1</v>
      </c>
      <c r="AK45" s="476"/>
      <c r="AL45" s="476"/>
      <c r="AM45" s="477">
        <f t="shared" si="11"/>
        <v>0</v>
      </c>
      <c r="AN45" s="476"/>
      <c r="AO45" s="476">
        <v>484902.8</v>
      </c>
      <c r="AP45" s="476"/>
      <c r="AQ45" s="476"/>
      <c r="AR45" s="478">
        <f t="shared" si="12"/>
        <v>1406885.5</v>
      </c>
    </row>
    <row r="46" spans="1:44" s="551" customFormat="1" x14ac:dyDescent="0.2">
      <c r="A46" s="542" t="s">
        <v>457</v>
      </c>
      <c r="B46" s="543"/>
      <c r="C46" s="543"/>
      <c r="D46" s="544">
        <f t="shared" si="2"/>
        <v>133805498.5</v>
      </c>
      <c r="E46" s="545">
        <f t="shared" si="3"/>
        <v>95322703.5</v>
      </c>
      <c r="F46" s="546"/>
      <c r="G46" s="547"/>
      <c r="H46" s="547"/>
      <c r="I46" s="548"/>
      <c r="J46" s="547"/>
      <c r="K46" s="547"/>
      <c r="L46" s="548"/>
      <c r="M46" s="547"/>
      <c r="N46" s="547"/>
      <c r="O46" s="548"/>
      <c r="P46" s="549"/>
      <c r="Q46" s="550"/>
      <c r="R46" s="547"/>
      <c r="S46" s="547">
        <v>93915818</v>
      </c>
      <c r="T46" s="547">
        <f>U46-S46</f>
        <v>38482795</v>
      </c>
      <c r="U46" s="549">
        <v>132398613</v>
      </c>
      <c r="V46" s="550"/>
      <c r="W46" s="547"/>
      <c r="X46" s="547"/>
      <c r="Y46" s="547"/>
      <c r="Z46" s="549"/>
      <c r="AA46" s="550"/>
      <c r="AB46" s="547"/>
      <c r="AC46" s="547"/>
      <c r="AD46" s="547"/>
      <c r="AE46" s="549"/>
      <c r="AF46" s="550">
        <v>87002.6</v>
      </c>
      <c r="AG46" s="547">
        <v>219305.8</v>
      </c>
      <c r="AH46" s="548">
        <f t="shared" si="10"/>
        <v>484902.8</v>
      </c>
      <c r="AI46" s="547">
        <v>470334.2</v>
      </c>
      <c r="AJ46" s="547">
        <v>145340.1</v>
      </c>
      <c r="AK46" s="547"/>
      <c r="AL46" s="547"/>
      <c r="AM46" s="548">
        <f t="shared" si="11"/>
        <v>0</v>
      </c>
      <c r="AN46" s="547"/>
      <c r="AO46" s="547">
        <v>484902.8</v>
      </c>
      <c r="AP46" s="547"/>
      <c r="AQ46" s="547"/>
      <c r="AR46" s="549">
        <f t="shared" si="12"/>
        <v>1406885.5</v>
      </c>
    </row>
    <row r="47" spans="1:44" x14ac:dyDescent="0.2">
      <c r="A47" s="473" t="s">
        <v>458</v>
      </c>
      <c r="B47" s="474"/>
      <c r="C47" s="474"/>
      <c r="D47" s="490">
        <f t="shared" si="2"/>
        <v>645386366.5</v>
      </c>
      <c r="E47" s="491">
        <f t="shared" si="3"/>
        <v>392686312.5</v>
      </c>
      <c r="F47" s="475">
        <f>SUM(B47:C47)</f>
        <v>0</v>
      </c>
      <c r="G47" s="476"/>
      <c r="H47" s="476"/>
      <c r="I47" s="477">
        <f t="shared" si="4"/>
        <v>0</v>
      </c>
      <c r="J47" s="476"/>
      <c r="K47" s="476"/>
      <c r="L47" s="477">
        <f t="shared" si="5"/>
        <v>0</v>
      </c>
      <c r="M47" s="476"/>
      <c r="N47" s="476"/>
      <c r="O47" s="477">
        <f t="shared" si="6"/>
        <v>0</v>
      </c>
      <c r="P47" s="478">
        <v>22009000</v>
      </c>
      <c r="Q47" s="479"/>
      <c r="R47" s="476"/>
      <c r="S47" s="476">
        <f>S48</f>
        <v>298879038</v>
      </c>
      <c r="T47" s="476">
        <f>T48</f>
        <v>252700054</v>
      </c>
      <c r="U47" s="478">
        <f>U48</f>
        <v>551579092</v>
      </c>
      <c r="V47" s="479"/>
      <c r="W47" s="476"/>
      <c r="X47" s="476"/>
      <c r="Y47" s="476"/>
      <c r="Z47" s="478">
        <v>69478000</v>
      </c>
      <c r="AA47" s="479"/>
      <c r="AB47" s="476"/>
      <c r="AC47" s="476"/>
      <c r="AD47" s="476"/>
      <c r="AE47" s="478"/>
      <c r="AF47" s="479">
        <v>253345.1</v>
      </c>
      <c r="AG47" s="476">
        <v>529432.5</v>
      </c>
      <c r="AH47" s="477">
        <f t="shared" si="10"/>
        <v>934039.8</v>
      </c>
      <c r="AI47" s="476">
        <v>65960.2</v>
      </c>
      <c r="AJ47" s="476">
        <v>537496.9</v>
      </c>
      <c r="AK47" s="476"/>
      <c r="AL47" s="476"/>
      <c r="AM47" s="477">
        <f t="shared" si="11"/>
        <v>0</v>
      </c>
      <c r="AN47" s="476"/>
      <c r="AO47" s="476">
        <v>934039.8</v>
      </c>
      <c r="AP47" s="476"/>
      <c r="AQ47" s="476"/>
      <c r="AR47" s="478">
        <f t="shared" si="12"/>
        <v>2320274.5</v>
      </c>
    </row>
    <row r="48" spans="1:44" s="551" customFormat="1" ht="12.75" thickBot="1" x14ac:dyDescent="0.25">
      <c r="A48" s="542" t="s">
        <v>459</v>
      </c>
      <c r="B48" s="543"/>
      <c r="C48" s="543"/>
      <c r="D48" s="552">
        <f t="shared" si="2"/>
        <v>553899366.5</v>
      </c>
      <c r="E48" s="553">
        <f t="shared" si="3"/>
        <v>301199312.5</v>
      </c>
      <c r="F48" s="554"/>
      <c r="G48" s="555"/>
      <c r="H48" s="555"/>
      <c r="I48" s="556"/>
      <c r="J48" s="555"/>
      <c r="K48" s="555"/>
      <c r="L48" s="556"/>
      <c r="M48" s="555"/>
      <c r="N48" s="555"/>
      <c r="O48" s="556"/>
      <c r="P48" s="557"/>
      <c r="Q48" s="558"/>
      <c r="R48" s="555"/>
      <c r="S48" s="555">
        <v>298879038</v>
      </c>
      <c r="T48" s="555">
        <f>U48-S48</f>
        <v>252700054</v>
      </c>
      <c r="U48" s="557">
        <v>551579092</v>
      </c>
      <c r="V48" s="558"/>
      <c r="W48" s="555"/>
      <c r="X48" s="555"/>
      <c r="Y48" s="555"/>
      <c r="Z48" s="557"/>
      <c r="AA48" s="558"/>
      <c r="AB48" s="555"/>
      <c r="AC48" s="555"/>
      <c r="AD48" s="555"/>
      <c r="AE48" s="557"/>
      <c r="AF48" s="558">
        <v>253345.1</v>
      </c>
      <c r="AG48" s="555">
        <v>529432.5</v>
      </c>
      <c r="AH48" s="556">
        <f t="shared" si="10"/>
        <v>934039.8</v>
      </c>
      <c r="AI48" s="555">
        <v>65960.2</v>
      </c>
      <c r="AJ48" s="555">
        <v>537496.9</v>
      </c>
      <c r="AK48" s="555"/>
      <c r="AL48" s="555"/>
      <c r="AM48" s="556">
        <f t="shared" si="11"/>
        <v>0</v>
      </c>
      <c r="AN48" s="555"/>
      <c r="AO48" s="555">
        <v>934039.8</v>
      </c>
      <c r="AP48" s="555"/>
      <c r="AQ48" s="555"/>
      <c r="AR48" s="557">
        <f t="shared" si="12"/>
        <v>2320274.5</v>
      </c>
    </row>
    <row r="50" spans="1:4" x14ac:dyDescent="0.2">
      <c r="A50" s="355" t="s">
        <v>714</v>
      </c>
      <c r="D50" s="780" t="s">
        <v>715</v>
      </c>
    </row>
    <row r="51" spans="1:4" x14ac:dyDescent="0.2">
      <c r="D51" s="780"/>
    </row>
  </sheetData>
  <sheetProtection algorithmName="SHA-512" hashValue="OH1pooRJWSoJ3Ptn0XpIx6ao2q96ILnAoX/yMiHPE96fcO3KzY5Hk1Aq8F+9xJjBfO0FngpQL372wXNe1U95JA==" saltValue="MIuFKnNPYdPg2lfGb7oJWQ==" spinCount="100000" sheet="1" objects="1" scenarios="1"/>
  <mergeCells count="6">
    <mergeCell ref="AF1:AR1"/>
    <mergeCell ref="D1:E1"/>
    <mergeCell ref="F1:P1"/>
    <mergeCell ref="Q1:U1"/>
    <mergeCell ref="V1:Z1"/>
    <mergeCell ref="AA1:A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D203E-5AFC-47B7-BDB4-6AFB6F4982D2}">
  <dimension ref="A1:AR55"/>
  <sheetViews>
    <sheetView showGridLines="0" zoomScaleNormal="100" workbookViewId="0"/>
  </sheetViews>
  <sheetFormatPr defaultColWidth="9.140625" defaultRowHeight="12" x14ac:dyDescent="0.25"/>
  <cols>
    <col min="1" max="1" width="29.5703125" style="259" customWidth="1"/>
    <col min="2" max="2" width="7.85546875" style="222" customWidth="1"/>
    <col min="3" max="3" width="7.140625" style="211" customWidth="1"/>
    <col min="4" max="4" width="7.85546875" style="222" customWidth="1"/>
    <col min="5" max="5" width="7.140625" style="211" customWidth="1"/>
    <col min="6" max="6" width="14.28515625" style="211" customWidth="1"/>
    <col min="7" max="7" width="7.85546875" style="222" customWidth="1"/>
    <col min="8" max="8" width="7.140625" style="211" customWidth="1"/>
    <col min="9" max="9" width="7.85546875" style="222" customWidth="1"/>
    <col min="10" max="10" width="7.140625" style="211" customWidth="1"/>
    <col min="11" max="11" width="15" style="211" customWidth="1"/>
    <col min="12" max="12" width="7.85546875" style="222" customWidth="1"/>
    <col min="13" max="13" width="7.140625" style="211" customWidth="1"/>
    <col min="14" max="14" width="7.85546875" style="222" customWidth="1"/>
    <col min="15" max="15" width="7.140625" style="211" customWidth="1"/>
    <col min="16" max="16" width="15" style="222" customWidth="1"/>
    <col min="17" max="18" width="9.85546875" style="265" customWidth="1"/>
    <col min="19" max="19" width="8.42578125" style="265" customWidth="1"/>
    <col min="20" max="20" width="7.5703125" style="265" customWidth="1"/>
    <col min="21" max="21" width="9.85546875" style="265" customWidth="1"/>
    <col min="22" max="22" width="7" style="265" customWidth="1"/>
    <col min="23" max="23" width="8.28515625" style="265" customWidth="1"/>
    <col min="24" max="24" width="7.42578125" style="265" customWidth="1"/>
    <col min="25" max="41" width="9.85546875" style="265" customWidth="1"/>
    <col min="42" max="16384" width="9.140625" style="265"/>
  </cols>
  <sheetData>
    <row r="1" spans="1:44" s="263" customFormat="1" x14ac:dyDescent="0.25">
      <c r="A1" s="534"/>
      <c r="B1" s="825" t="s">
        <v>460</v>
      </c>
      <c r="C1" s="826"/>
      <c r="D1" s="826"/>
      <c r="E1" s="826"/>
      <c r="F1" s="827"/>
      <c r="G1" s="825" t="s">
        <v>461</v>
      </c>
      <c r="H1" s="826"/>
      <c r="I1" s="826"/>
      <c r="J1" s="826"/>
      <c r="K1" s="827"/>
      <c r="L1" s="825" t="s">
        <v>462</v>
      </c>
      <c r="M1" s="826"/>
      <c r="N1" s="826"/>
      <c r="O1" s="826"/>
      <c r="P1" s="826"/>
      <c r="Q1" s="825" t="s">
        <v>463</v>
      </c>
      <c r="R1" s="826"/>
      <c r="S1" s="826"/>
      <c r="T1" s="826"/>
      <c r="U1" s="835"/>
      <c r="V1" s="836" t="s">
        <v>464</v>
      </c>
      <c r="W1" s="826"/>
      <c r="X1" s="826"/>
      <c r="Y1" s="826"/>
      <c r="Z1" s="835"/>
      <c r="AA1" s="836" t="s">
        <v>465</v>
      </c>
      <c r="AB1" s="826"/>
      <c r="AC1" s="826"/>
      <c r="AD1" s="826"/>
      <c r="AE1" s="835"/>
      <c r="AF1" s="836" t="s">
        <v>466</v>
      </c>
      <c r="AG1" s="826"/>
      <c r="AH1" s="826"/>
      <c r="AI1" s="826"/>
      <c r="AJ1" s="835"/>
      <c r="AK1" s="826" t="s">
        <v>467</v>
      </c>
      <c r="AL1" s="826"/>
      <c r="AM1" s="826"/>
      <c r="AN1" s="826"/>
      <c r="AO1" s="827"/>
    </row>
    <row r="2" spans="1:44" s="294" customFormat="1" ht="27" customHeight="1" x14ac:dyDescent="0.25">
      <c r="A2" s="535"/>
      <c r="B2" s="828" t="s">
        <v>468</v>
      </c>
      <c r="C2" s="829"/>
      <c r="D2" s="830" t="s">
        <v>469</v>
      </c>
      <c r="E2" s="829"/>
      <c r="F2" s="522" t="s">
        <v>470</v>
      </c>
      <c r="G2" s="828" t="s">
        <v>468</v>
      </c>
      <c r="H2" s="829"/>
      <c r="I2" s="830" t="s">
        <v>469</v>
      </c>
      <c r="J2" s="829"/>
      <c r="K2" s="264" t="s">
        <v>471</v>
      </c>
      <c r="L2" s="828" t="s">
        <v>468</v>
      </c>
      <c r="M2" s="829"/>
      <c r="N2" s="830" t="s">
        <v>469</v>
      </c>
      <c r="O2" s="829"/>
      <c r="P2" s="523" t="s">
        <v>472</v>
      </c>
      <c r="Q2" s="831" t="s">
        <v>468</v>
      </c>
      <c r="R2" s="832"/>
      <c r="S2" s="833" t="s">
        <v>469</v>
      </c>
      <c r="T2" s="832"/>
      <c r="U2" s="525" t="s">
        <v>382</v>
      </c>
      <c r="V2" s="833" t="s">
        <v>468</v>
      </c>
      <c r="W2" s="832"/>
      <c r="X2" s="834" t="s">
        <v>469</v>
      </c>
      <c r="Y2" s="834"/>
      <c r="Z2" s="527" t="s">
        <v>382</v>
      </c>
      <c r="AA2" s="833" t="s">
        <v>468</v>
      </c>
      <c r="AB2" s="832"/>
      <c r="AC2" s="833" t="s">
        <v>469</v>
      </c>
      <c r="AD2" s="832"/>
      <c r="AE2" s="525" t="s">
        <v>382</v>
      </c>
      <c r="AF2" s="833" t="s">
        <v>473</v>
      </c>
      <c r="AG2" s="832"/>
      <c r="AH2" s="833" t="s">
        <v>474</v>
      </c>
      <c r="AI2" s="832"/>
      <c r="AJ2" s="525" t="s">
        <v>382</v>
      </c>
      <c r="AK2" s="834" t="s">
        <v>475</v>
      </c>
      <c r="AL2" s="834"/>
      <c r="AM2" s="834" t="s">
        <v>476</v>
      </c>
      <c r="AN2" s="834"/>
      <c r="AO2" s="524" t="s">
        <v>382</v>
      </c>
    </row>
    <row r="3" spans="1:44" s="263" customFormat="1" x14ac:dyDescent="0.25">
      <c r="A3" s="536" t="s">
        <v>417</v>
      </c>
      <c r="B3" s="266">
        <f>G3+L3</f>
        <v>35037</v>
      </c>
      <c r="C3" s="267">
        <f>B3/F3</f>
        <v>0.90345787885820372</v>
      </c>
      <c r="D3" s="268">
        <f>I3+N3</f>
        <v>3744</v>
      </c>
      <c r="E3" s="267">
        <f>D3/F3</f>
        <v>9.6542121141796236E-2</v>
      </c>
      <c r="F3" s="269">
        <f>B3+D3</f>
        <v>38781</v>
      </c>
      <c r="G3" s="270">
        <f>G4+G46</f>
        <v>17646</v>
      </c>
      <c r="H3" s="267">
        <f>G3/K3</f>
        <v>0.9034867646305873</v>
      </c>
      <c r="I3" s="271">
        <f>I4+I46</f>
        <v>1885</v>
      </c>
      <c r="J3" s="267">
        <f>I3/K3</f>
        <v>9.6513235369412725E-2</v>
      </c>
      <c r="K3" s="272">
        <f>G3+I3</f>
        <v>19531</v>
      </c>
      <c r="L3" s="270">
        <f>L4+L46</f>
        <v>17391</v>
      </c>
      <c r="M3" s="267">
        <f>L3/P3</f>
        <v>0.90342857142857147</v>
      </c>
      <c r="N3" s="271">
        <f>N4+N46</f>
        <v>1859</v>
      </c>
      <c r="O3" s="267">
        <f>N3/P3</f>
        <v>9.6571428571428572E-2</v>
      </c>
      <c r="P3" s="268">
        <f>L3+N3</f>
        <v>19250</v>
      </c>
      <c r="Q3" s="521"/>
      <c r="R3" s="267"/>
      <c r="S3" s="271"/>
      <c r="T3" s="267"/>
      <c r="U3" s="271"/>
      <c r="V3" s="271"/>
      <c r="W3" s="267"/>
      <c r="X3" s="271"/>
      <c r="Y3" s="267"/>
      <c r="Z3" s="271"/>
      <c r="AA3" s="271"/>
      <c r="AB3" s="267"/>
      <c r="AC3" s="271"/>
      <c r="AD3" s="267"/>
      <c r="AE3" s="271"/>
      <c r="AF3" s="271"/>
      <c r="AG3" s="267"/>
      <c r="AH3" s="528"/>
      <c r="AI3" s="529"/>
      <c r="AJ3" s="267"/>
      <c r="AK3" s="271"/>
      <c r="AL3" s="267"/>
      <c r="AM3" s="271"/>
      <c r="AN3" s="267"/>
      <c r="AO3" s="506"/>
      <c r="AQ3" s="501"/>
      <c r="AR3" s="501"/>
    </row>
    <row r="4" spans="1:44" s="263" customFormat="1" ht="11.25" customHeight="1" x14ac:dyDescent="0.25">
      <c r="A4" s="537" t="s">
        <v>418</v>
      </c>
      <c r="B4" s="273">
        <f t="shared" ref="B4:B53" si="0">G4+L4</f>
        <v>24478</v>
      </c>
      <c r="C4" s="274">
        <f t="shared" ref="C4:C53" si="1">B4/F4</f>
        <v>0.91036893781612616</v>
      </c>
      <c r="D4" s="275">
        <f t="shared" ref="D4:D53" si="2">I4+N4</f>
        <v>2410</v>
      </c>
      <c r="E4" s="274">
        <f t="shared" ref="E4:E53" si="3">D4/F4</f>
        <v>8.9631062183873844E-2</v>
      </c>
      <c r="F4" s="276">
        <f t="shared" ref="F4:F53" si="4">B4+D4</f>
        <v>26888</v>
      </c>
      <c r="G4" s="277">
        <f>SUM(G5,G9,G15,G20,G33,G35,G40,G42,G44)</f>
        <v>13209</v>
      </c>
      <c r="H4" s="274">
        <f t="shared" ref="H4:H53" si="5">G4/K4</f>
        <v>0.88360425446518165</v>
      </c>
      <c r="I4" s="278">
        <f>SUM(I5,I9,I15,I20,I33,I35,I40,I42,I44)</f>
        <v>1740</v>
      </c>
      <c r="J4" s="274">
        <f t="shared" ref="J4:J53" si="6">I4/K4</f>
        <v>0.11639574553481838</v>
      </c>
      <c r="K4" s="279">
        <f t="shared" ref="K4:K53" si="7">G4+I4</f>
        <v>14949</v>
      </c>
      <c r="L4" s="277">
        <f>SUM(L5,L9,L15,L20,L33,L35,L40,L42,L44)</f>
        <v>11269</v>
      </c>
      <c r="M4" s="274">
        <f t="shared" ref="M4:M53" si="8">L4/P4</f>
        <v>0.94388139710193486</v>
      </c>
      <c r="N4" s="278">
        <f>SUM(N5,N9,N15,N20,N33,N35,N40,N42,N44)</f>
        <v>670</v>
      </c>
      <c r="O4" s="274">
        <f t="shared" ref="O4:O53" si="9">N4/P4</f>
        <v>5.6118602898065167E-2</v>
      </c>
      <c r="P4" s="275">
        <f t="shared" ref="P4:P53" si="10">L4+N4</f>
        <v>11939</v>
      </c>
      <c r="Q4" s="507">
        <f>K4-S4</f>
        <v>13376</v>
      </c>
      <c r="R4" s="274">
        <f t="shared" ref="R4:R45" si="11">Q4/U4</f>
        <v>0.89477557027225907</v>
      </c>
      <c r="S4" s="278">
        <f t="shared" ref="S4:AM4" si="12">SUM(S5,S9,S15,S20,S33,S35,S40,S42,S44)</f>
        <v>1573</v>
      </c>
      <c r="T4" s="274">
        <f t="shared" ref="T4:T45" si="13">S4/U4</f>
        <v>0.10522442972774099</v>
      </c>
      <c r="U4" s="278">
        <f t="shared" ref="U4:U45" si="14">Q4+S4</f>
        <v>14949</v>
      </c>
      <c r="V4" s="278">
        <f t="shared" si="12"/>
        <v>53</v>
      </c>
      <c r="W4" s="274">
        <f t="shared" ref="W4:W45" si="15">V4/Z4</f>
        <v>0.38405797101449274</v>
      </c>
      <c r="X4" s="278">
        <f t="shared" si="12"/>
        <v>85</v>
      </c>
      <c r="Y4" s="274">
        <f t="shared" ref="Y4:Y45" si="16">X4/Z4</f>
        <v>0.61594202898550721</v>
      </c>
      <c r="Z4" s="278">
        <f t="shared" ref="Z4:Z45" si="17">V4+X4</f>
        <v>138</v>
      </c>
      <c r="AA4" s="278">
        <f t="shared" si="12"/>
        <v>623</v>
      </c>
      <c r="AB4" s="274">
        <f t="shared" ref="AB4:AB45" si="18">AA4/AE4</f>
        <v>0.89127324749642345</v>
      </c>
      <c r="AC4" s="278">
        <f t="shared" si="12"/>
        <v>76</v>
      </c>
      <c r="AD4" s="274">
        <f t="shared" ref="AD4:AD45" si="19">AC4/AE4</f>
        <v>0.10872675250357654</v>
      </c>
      <c r="AE4" s="278">
        <f t="shared" ref="AE4:AE45" si="20">AA4+AC4</f>
        <v>699</v>
      </c>
      <c r="AF4" s="278">
        <f t="shared" si="12"/>
        <v>0</v>
      </c>
      <c r="AG4" s="274">
        <v>0</v>
      </c>
      <c r="AH4" s="278">
        <f t="shared" si="12"/>
        <v>1</v>
      </c>
      <c r="AI4" s="274">
        <f>AH4/AJ4</f>
        <v>1</v>
      </c>
      <c r="AJ4" s="503">
        <f>AH4+AF4</f>
        <v>1</v>
      </c>
      <c r="AK4" s="278">
        <f t="shared" si="12"/>
        <v>2</v>
      </c>
      <c r="AL4" s="274">
        <f t="shared" ref="AL4:AL20" si="21">AK4/AO4</f>
        <v>0.2857142857142857</v>
      </c>
      <c r="AM4" s="278">
        <f t="shared" si="12"/>
        <v>5</v>
      </c>
      <c r="AN4" s="274">
        <f t="shared" ref="AN4:AN20" si="22">AM4/AO4</f>
        <v>0.7142857142857143</v>
      </c>
      <c r="AO4" s="508">
        <f t="shared" ref="AO4:AO45" si="23">AK4+AM4</f>
        <v>7</v>
      </c>
      <c r="AQ4" s="501"/>
      <c r="AR4" s="501"/>
    </row>
    <row r="5" spans="1:44" s="263" customFormat="1" x14ac:dyDescent="0.25">
      <c r="A5" s="538" t="s">
        <v>419</v>
      </c>
      <c r="B5" s="592">
        <f>G5+L5</f>
        <v>3495</v>
      </c>
      <c r="C5" s="593">
        <f t="shared" si="1"/>
        <v>0.96680497925311204</v>
      </c>
      <c r="D5" s="594">
        <f t="shared" si="2"/>
        <v>120</v>
      </c>
      <c r="E5" s="593">
        <f t="shared" si="3"/>
        <v>3.3195020746887967E-2</v>
      </c>
      <c r="F5" s="595">
        <f t="shared" si="4"/>
        <v>3615</v>
      </c>
      <c r="G5" s="284">
        <f>SUM(G6:G8)</f>
        <v>1308</v>
      </c>
      <c r="H5" s="593">
        <f t="shared" si="5"/>
        <v>0.94782608695652171</v>
      </c>
      <c r="I5" s="285">
        <f>SUM(I6:I8)</f>
        <v>72</v>
      </c>
      <c r="J5" s="593">
        <f t="shared" si="6"/>
        <v>5.2173913043478258E-2</v>
      </c>
      <c r="K5" s="596">
        <f t="shared" si="7"/>
        <v>1380</v>
      </c>
      <c r="L5" s="284">
        <f>SUM(L6:L8)</f>
        <v>2187</v>
      </c>
      <c r="M5" s="593">
        <f t="shared" si="8"/>
        <v>0.97852348993288596</v>
      </c>
      <c r="N5" s="285">
        <f>SUM(N6:N8)</f>
        <v>48</v>
      </c>
      <c r="O5" s="593">
        <f t="shared" si="9"/>
        <v>2.1476510067114093E-2</v>
      </c>
      <c r="P5" s="594">
        <f t="shared" si="10"/>
        <v>2235</v>
      </c>
      <c r="Q5" s="285">
        <f t="shared" ref="Q5:Q45" si="24">K5-S5</f>
        <v>1308</v>
      </c>
      <c r="R5" s="593">
        <f t="shared" si="11"/>
        <v>0.94782608695652171</v>
      </c>
      <c r="S5" s="285">
        <f t="shared" ref="S5:AC5" si="25">SUM(S6:S8)</f>
        <v>72</v>
      </c>
      <c r="T5" s="593">
        <f t="shared" si="13"/>
        <v>5.2173913043478258E-2</v>
      </c>
      <c r="U5" s="285">
        <f t="shared" si="14"/>
        <v>1380</v>
      </c>
      <c r="V5" s="285">
        <f t="shared" si="25"/>
        <v>0</v>
      </c>
      <c r="W5" s="593">
        <v>0</v>
      </c>
      <c r="X5" s="285">
        <f t="shared" si="25"/>
        <v>0</v>
      </c>
      <c r="Y5" s="593">
        <v>0</v>
      </c>
      <c r="Z5" s="285">
        <f t="shared" si="17"/>
        <v>0</v>
      </c>
      <c r="AA5" s="285">
        <f t="shared" si="25"/>
        <v>3</v>
      </c>
      <c r="AB5" s="593">
        <f t="shared" si="18"/>
        <v>1</v>
      </c>
      <c r="AC5" s="285">
        <f t="shared" si="25"/>
        <v>0</v>
      </c>
      <c r="AD5" s="593">
        <f t="shared" si="19"/>
        <v>0</v>
      </c>
      <c r="AE5" s="285">
        <f t="shared" si="20"/>
        <v>3</v>
      </c>
      <c r="AF5" s="285"/>
      <c r="AG5" s="593">
        <v>0</v>
      </c>
      <c r="AH5" s="285">
        <f>SUM(AH6:AH8)</f>
        <v>0</v>
      </c>
      <c r="AI5" s="593">
        <v>0</v>
      </c>
      <c r="AJ5" s="598">
        <f t="shared" ref="AJ5:AJ45" si="26">AH5+AF5</f>
        <v>0</v>
      </c>
      <c r="AK5" s="285">
        <f>SUM(AK6:AK8)</f>
        <v>0</v>
      </c>
      <c r="AL5" s="593">
        <v>0</v>
      </c>
      <c r="AM5" s="285">
        <f>SUM(AM6:AM8)</f>
        <v>0</v>
      </c>
      <c r="AN5" s="593">
        <v>0</v>
      </c>
      <c r="AO5" s="509">
        <f t="shared" si="23"/>
        <v>0</v>
      </c>
      <c r="AQ5" s="501"/>
      <c r="AR5" s="501"/>
    </row>
    <row r="6" spans="1:44" x14ac:dyDescent="0.25">
      <c r="A6" s="539" t="s">
        <v>420</v>
      </c>
      <c r="B6" s="287">
        <f t="shared" si="0"/>
        <v>3289</v>
      </c>
      <c r="C6" s="288">
        <f t="shared" si="1"/>
        <v>0.96763754045307449</v>
      </c>
      <c r="D6" s="289">
        <f t="shared" si="2"/>
        <v>110</v>
      </c>
      <c r="E6" s="288">
        <f t="shared" si="3"/>
        <v>3.2362459546925564E-2</v>
      </c>
      <c r="F6" s="290">
        <f t="shared" si="4"/>
        <v>3399</v>
      </c>
      <c r="G6" s="291">
        <v>1273</v>
      </c>
      <c r="H6" s="288">
        <f t="shared" si="5"/>
        <v>0.95213163799551237</v>
      </c>
      <c r="I6" s="292">
        <v>64</v>
      </c>
      <c r="J6" s="288">
        <f t="shared" si="6"/>
        <v>4.7868362004487658E-2</v>
      </c>
      <c r="K6" s="293">
        <f t="shared" si="7"/>
        <v>1337</v>
      </c>
      <c r="L6" s="291">
        <v>2016</v>
      </c>
      <c r="M6" s="288">
        <f t="shared" si="8"/>
        <v>0.97769156159068871</v>
      </c>
      <c r="N6" s="292">
        <v>46</v>
      </c>
      <c r="O6" s="288">
        <f t="shared" si="9"/>
        <v>2.2308438409311349E-2</v>
      </c>
      <c r="P6" s="289">
        <f t="shared" si="10"/>
        <v>2062</v>
      </c>
      <c r="Q6" s="510">
        <f t="shared" si="24"/>
        <v>1273</v>
      </c>
      <c r="R6" s="288">
        <f t="shared" si="11"/>
        <v>0.95213163799551237</v>
      </c>
      <c r="S6" s="292">
        <v>64</v>
      </c>
      <c r="T6" s="288">
        <f t="shared" si="13"/>
        <v>4.7868362004487658E-2</v>
      </c>
      <c r="U6" s="292">
        <f t="shared" si="14"/>
        <v>1337</v>
      </c>
      <c r="V6" s="292">
        <v>0</v>
      </c>
      <c r="W6" s="288">
        <v>0</v>
      </c>
      <c r="X6" s="292">
        <v>0</v>
      </c>
      <c r="Y6" s="288">
        <v>0</v>
      </c>
      <c r="Z6" s="292">
        <f t="shared" si="17"/>
        <v>0</v>
      </c>
      <c r="AA6" s="292">
        <v>3</v>
      </c>
      <c r="AB6" s="288">
        <f t="shared" si="18"/>
        <v>1</v>
      </c>
      <c r="AC6" s="292">
        <v>0</v>
      </c>
      <c r="AD6" s="288">
        <f t="shared" si="19"/>
        <v>0</v>
      </c>
      <c r="AE6" s="292">
        <f t="shared" si="20"/>
        <v>3</v>
      </c>
      <c r="AF6" s="292"/>
      <c r="AG6" s="288">
        <v>0</v>
      </c>
      <c r="AH6" s="292">
        <v>0</v>
      </c>
      <c r="AI6" s="288">
        <v>0</v>
      </c>
      <c r="AJ6" s="504">
        <f t="shared" si="26"/>
        <v>0</v>
      </c>
      <c r="AK6" s="292">
        <v>0</v>
      </c>
      <c r="AL6" s="288">
        <v>0</v>
      </c>
      <c r="AM6" s="292">
        <v>0</v>
      </c>
      <c r="AN6" s="288">
        <v>0</v>
      </c>
      <c r="AO6" s="511">
        <f t="shared" si="23"/>
        <v>0</v>
      </c>
      <c r="AQ6" s="501"/>
      <c r="AR6" s="501"/>
    </row>
    <row r="7" spans="1:44" x14ac:dyDescent="0.25">
      <c r="A7" s="539" t="s">
        <v>421</v>
      </c>
      <c r="B7" s="287">
        <f>G7+L7</f>
        <v>202</v>
      </c>
      <c r="C7" s="288">
        <f>B7/F7</f>
        <v>0.95734597156398105</v>
      </c>
      <c r="D7" s="289">
        <f>I7+N7</f>
        <v>9</v>
      </c>
      <c r="E7" s="288">
        <f>D7/F7</f>
        <v>4.2654028436018961E-2</v>
      </c>
      <c r="F7" s="290">
        <f>B7+D7</f>
        <v>211</v>
      </c>
      <c r="G7" s="291">
        <v>31</v>
      </c>
      <c r="H7" s="288">
        <f>G7/K7</f>
        <v>0.81578947368421051</v>
      </c>
      <c r="I7" s="292">
        <v>7</v>
      </c>
      <c r="J7" s="288">
        <f>I7/K7</f>
        <v>0.18421052631578946</v>
      </c>
      <c r="K7" s="293">
        <f>G7+I7</f>
        <v>38</v>
      </c>
      <c r="L7" s="291">
        <v>171</v>
      </c>
      <c r="M7" s="288">
        <f>L7/P7</f>
        <v>0.98843930635838151</v>
      </c>
      <c r="N7" s="292">
        <v>2</v>
      </c>
      <c r="O7" s="288">
        <f>N7/P7</f>
        <v>1.1560693641618497E-2</v>
      </c>
      <c r="P7" s="289">
        <f>L7+N7</f>
        <v>173</v>
      </c>
      <c r="Q7" s="510">
        <f t="shared" si="24"/>
        <v>31</v>
      </c>
      <c r="R7" s="288">
        <f>Q7/U7</f>
        <v>0.81578947368421051</v>
      </c>
      <c r="S7" s="292">
        <v>7</v>
      </c>
      <c r="T7" s="288">
        <f>S7/U7</f>
        <v>0.18421052631578946</v>
      </c>
      <c r="U7" s="292">
        <f t="shared" si="14"/>
        <v>38</v>
      </c>
      <c r="V7" s="292">
        <v>0</v>
      </c>
      <c r="W7" s="288">
        <v>0</v>
      </c>
      <c r="X7" s="292">
        <v>0</v>
      </c>
      <c r="Y7" s="288">
        <v>0</v>
      </c>
      <c r="Z7" s="292">
        <f t="shared" si="17"/>
        <v>0</v>
      </c>
      <c r="AA7" s="292">
        <v>0</v>
      </c>
      <c r="AB7" s="288">
        <v>0</v>
      </c>
      <c r="AC7" s="292">
        <v>0</v>
      </c>
      <c r="AD7" s="288">
        <v>0</v>
      </c>
      <c r="AE7" s="292">
        <f t="shared" si="20"/>
        <v>0</v>
      </c>
      <c r="AF7" s="292"/>
      <c r="AG7" s="288">
        <v>0</v>
      </c>
      <c r="AH7" s="292">
        <v>0</v>
      </c>
      <c r="AI7" s="288">
        <v>0</v>
      </c>
      <c r="AJ7" s="504">
        <f t="shared" si="26"/>
        <v>0</v>
      </c>
      <c r="AK7" s="292">
        <v>0</v>
      </c>
      <c r="AL7" s="288">
        <v>0</v>
      </c>
      <c r="AM7" s="292">
        <v>0</v>
      </c>
      <c r="AN7" s="288">
        <v>0</v>
      </c>
      <c r="AO7" s="511">
        <f t="shared" si="23"/>
        <v>0</v>
      </c>
      <c r="AQ7" s="501"/>
      <c r="AR7" s="501"/>
    </row>
    <row r="8" spans="1:44" x14ac:dyDescent="0.25">
      <c r="A8" s="539" t="s">
        <v>422</v>
      </c>
      <c r="B8" s="287">
        <f t="shared" si="0"/>
        <v>4</v>
      </c>
      <c r="C8" s="288">
        <f t="shared" si="1"/>
        <v>0.8</v>
      </c>
      <c r="D8" s="289">
        <f t="shared" si="2"/>
        <v>1</v>
      </c>
      <c r="E8" s="288">
        <f t="shared" si="3"/>
        <v>0.2</v>
      </c>
      <c r="F8" s="290">
        <f t="shared" si="4"/>
        <v>5</v>
      </c>
      <c r="G8" s="291">
        <v>4</v>
      </c>
      <c r="H8" s="288">
        <f t="shared" si="5"/>
        <v>0.8</v>
      </c>
      <c r="I8" s="292">
        <v>1</v>
      </c>
      <c r="J8" s="288">
        <f t="shared" si="6"/>
        <v>0.2</v>
      </c>
      <c r="K8" s="293">
        <f t="shared" si="7"/>
        <v>5</v>
      </c>
      <c r="L8" s="291">
        <v>0</v>
      </c>
      <c r="M8" s="288">
        <v>0</v>
      </c>
      <c r="N8" s="292">
        <v>0</v>
      </c>
      <c r="O8" s="288">
        <v>0</v>
      </c>
      <c r="P8" s="289">
        <f t="shared" si="10"/>
        <v>0</v>
      </c>
      <c r="Q8" s="510">
        <f t="shared" si="24"/>
        <v>4</v>
      </c>
      <c r="R8" s="288">
        <v>0</v>
      </c>
      <c r="S8" s="292">
        <v>1</v>
      </c>
      <c r="T8" s="288">
        <v>0</v>
      </c>
      <c r="U8" s="292">
        <f t="shared" si="14"/>
        <v>5</v>
      </c>
      <c r="V8" s="292"/>
      <c r="W8" s="288">
        <v>0</v>
      </c>
      <c r="X8" s="292"/>
      <c r="Y8" s="288">
        <v>0</v>
      </c>
      <c r="Z8" s="292">
        <f t="shared" si="17"/>
        <v>0</v>
      </c>
      <c r="AA8" s="292"/>
      <c r="AB8" s="288">
        <v>0</v>
      </c>
      <c r="AC8" s="292"/>
      <c r="AD8" s="288">
        <v>0</v>
      </c>
      <c r="AE8" s="292">
        <f t="shared" si="20"/>
        <v>0</v>
      </c>
      <c r="AF8" s="292"/>
      <c r="AG8" s="288">
        <v>0</v>
      </c>
      <c r="AH8" s="292"/>
      <c r="AI8" s="288">
        <v>0</v>
      </c>
      <c r="AJ8" s="504">
        <f t="shared" si="26"/>
        <v>0</v>
      </c>
      <c r="AK8" s="292"/>
      <c r="AL8" s="288">
        <v>0</v>
      </c>
      <c r="AM8" s="292">
        <v>0</v>
      </c>
      <c r="AN8" s="288">
        <v>0</v>
      </c>
      <c r="AO8" s="511">
        <f t="shared" si="23"/>
        <v>0</v>
      </c>
      <c r="AQ8" s="501"/>
      <c r="AR8" s="501"/>
    </row>
    <row r="9" spans="1:44" s="263" customFormat="1" x14ac:dyDescent="0.25">
      <c r="A9" s="538" t="s">
        <v>423</v>
      </c>
      <c r="B9" s="592">
        <f>G9+L9</f>
        <v>328</v>
      </c>
      <c r="C9" s="593">
        <f t="shared" si="1"/>
        <v>0.87002652519893897</v>
      </c>
      <c r="D9" s="594">
        <f t="shared" si="2"/>
        <v>49</v>
      </c>
      <c r="E9" s="593">
        <f t="shared" si="3"/>
        <v>0.129973474801061</v>
      </c>
      <c r="F9" s="595">
        <f t="shared" si="4"/>
        <v>377</v>
      </c>
      <c r="G9" s="284">
        <f>SUM(G10:G14)</f>
        <v>100</v>
      </c>
      <c r="H9" s="593">
        <f t="shared" si="5"/>
        <v>0.82644628099173556</v>
      </c>
      <c r="I9" s="285">
        <f>SUM(I10:I14)</f>
        <v>21</v>
      </c>
      <c r="J9" s="593">
        <f t="shared" si="6"/>
        <v>0.17355371900826447</v>
      </c>
      <c r="K9" s="596">
        <f>G9+I9</f>
        <v>121</v>
      </c>
      <c r="L9" s="284">
        <f>SUM(L10:L14)</f>
        <v>228</v>
      </c>
      <c r="M9" s="593">
        <f t="shared" si="8"/>
        <v>0.890625</v>
      </c>
      <c r="N9" s="285">
        <f>SUM(N10:N14)</f>
        <v>28</v>
      </c>
      <c r="O9" s="593">
        <f t="shared" si="9"/>
        <v>0.109375</v>
      </c>
      <c r="P9" s="594">
        <f t="shared" si="10"/>
        <v>256</v>
      </c>
      <c r="Q9" s="597">
        <f>SUM(Q10:Q14)</f>
        <v>101</v>
      </c>
      <c r="R9" s="593">
        <f t="shared" si="11"/>
        <v>0.83471074380165289</v>
      </c>
      <c r="S9" s="285">
        <f>SUM(S10:S14)</f>
        <v>20</v>
      </c>
      <c r="T9" s="593">
        <f t="shared" si="13"/>
        <v>0.16528925619834711</v>
      </c>
      <c r="U9" s="285">
        <f t="shared" si="14"/>
        <v>121</v>
      </c>
      <c r="V9" s="285">
        <f>SUM(V10:V14)</f>
        <v>1</v>
      </c>
      <c r="W9" s="593">
        <f t="shared" si="15"/>
        <v>0.5</v>
      </c>
      <c r="X9" s="285">
        <f>SUM(X10:X14)</f>
        <v>1</v>
      </c>
      <c r="Y9" s="593">
        <f t="shared" si="16"/>
        <v>0.5</v>
      </c>
      <c r="Z9" s="285">
        <f t="shared" si="17"/>
        <v>2</v>
      </c>
      <c r="AA9" s="285">
        <f>SUM(AA10:AA14)</f>
        <v>0</v>
      </c>
      <c r="AB9" s="593">
        <v>0</v>
      </c>
      <c r="AC9" s="285">
        <f>SUM(AC10:AC14)</f>
        <v>0</v>
      </c>
      <c r="AD9" s="593">
        <v>0</v>
      </c>
      <c r="AE9" s="285">
        <f t="shared" si="20"/>
        <v>0</v>
      </c>
      <c r="AF9" s="285">
        <f>SUM(AF10:AF14)</f>
        <v>0</v>
      </c>
      <c r="AG9" s="593">
        <v>0</v>
      </c>
      <c r="AH9" s="285">
        <f>SUM(AH10:AH14)</f>
        <v>0</v>
      </c>
      <c r="AI9" s="593">
        <v>0</v>
      </c>
      <c r="AJ9" s="598">
        <f t="shared" si="26"/>
        <v>0</v>
      </c>
      <c r="AK9" s="285">
        <f>SUM(AK10:AK14)</f>
        <v>0</v>
      </c>
      <c r="AL9" s="593">
        <v>0</v>
      </c>
      <c r="AM9" s="285">
        <f>SUM(AM10:AM14)</f>
        <v>0</v>
      </c>
      <c r="AN9" s="593">
        <v>0</v>
      </c>
      <c r="AO9" s="509">
        <f t="shared" si="23"/>
        <v>0</v>
      </c>
      <c r="AQ9" s="501"/>
      <c r="AR9" s="501"/>
    </row>
    <row r="10" spans="1:44" x14ac:dyDescent="0.25">
      <c r="A10" s="539" t="s">
        <v>424</v>
      </c>
      <c r="B10" s="287">
        <f t="shared" si="0"/>
        <v>253</v>
      </c>
      <c r="C10" s="288">
        <f t="shared" si="1"/>
        <v>0.90357142857142858</v>
      </c>
      <c r="D10" s="289">
        <f t="shared" si="2"/>
        <v>27</v>
      </c>
      <c r="E10" s="288">
        <f t="shared" si="3"/>
        <v>9.6428571428571433E-2</v>
      </c>
      <c r="F10" s="290">
        <f t="shared" si="4"/>
        <v>280</v>
      </c>
      <c r="G10" s="291">
        <v>46</v>
      </c>
      <c r="H10" s="288">
        <f t="shared" si="5"/>
        <v>0.92</v>
      </c>
      <c r="I10" s="292">
        <v>4</v>
      </c>
      <c r="J10" s="288">
        <f t="shared" si="6"/>
        <v>0.08</v>
      </c>
      <c r="K10" s="293">
        <f t="shared" si="7"/>
        <v>50</v>
      </c>
      <c r="L10" s="291">
        <v>207</v>
      </c>
      <c r="M10" s="288">
        <f t="shared" si="8"/>
        <v>0.9</v>
      </c>
      <c r="N10" s="292">
        <v>23</v>
      </c>
      <c r="O10" s="288">
        <f t="shared" si="9"/>
        <v>0.1</v>
      </c>
      <c r="P10" s="289">
        <f t="shared" si="10"/>
        <v>230</v>
      </c>
      <c r="Q10" s="510">
        <f t="shared" si="24"/>
        <v>46</v>
      </c>
      <c r="R10" s="288">
        <f t="shared" si="11"/>
        <v>0.92</v>
      </c>
      <c r="S10" s="292">
        <v>4</v>
      </c>
      <c r="T10" s="288">
        <f t="shared" si="13"/>
        <v>0.08</v>
      </c>
      <c r="U10" s="292">
        <f t="shared" si="14"/>
        <v>50</v>
      </c>
      <c r="V10" s="292">
        <v>0</v>
      </c>
      <c r="W10" s="288">
        <v>0</v>
      </c>
      <c r="X10" s="292">
        <v>0</v>
      </c>
      <c r="Y10" s="288">
        <v>0</v>
      </c>
      <c r="Z10" s="292">
        <f t="shared" si="17"/>
        <v>0</v>
      </c>
      <c r="AA10" s="292">
        <v>0</v>
      </c>
      <c r="AB10" s="288">
        <v>0</v>
      </c>
      <c r="AC10" s="292">
        <v>0</v>
      </c>
      <c r="AD10" s="288">
        <v>0</v>
      </c>
      <c r="AE10" s="292">
        <f t="shared" si="20"/>
        <v>0</v>
      </c>
      <c r="AF10" s="292"/>
      <c r="AG10" s="288">
        <v>0</v>
      </c>
      <c r="AH10" s="292">
        <v>0</v>
      </c>
      <c r="AI10" s="288">
        <v>0</v>
      </c>
      <c r="AJ10" s="504">
        <f t="shared" si="26"/>
        <v>0</v>
      </c>
      <c r="AK10" s="292">
        <v>0</v>
      </c>
      <c r="AL10" s="288">
        <v>0</v>
      </c>
      <c r="AM10" s="292">
        <v>0</v>
      </c>
      <c r="AN10" s="288">
        <v>0</v>
      </c>
      <c r="AO10" s="511">
        <f t="shared" si="23"/>
        <v>0</v>
      </c>
      <c r="AQ10" s="501"/>
      <c r="AR10" s="501"/>
    </row>
    <row r="11" spans="1:44" x14ac:dyDescent="0.25">
      <c r="A11" s="539" t="s">
        <v>425</v>
      </c>
      <c r="B11" s="287">
        <f t="shared" si="0"/>
        <v>0</v>
      </c>
      <c r="C11" s="288">
        <v>0</v>
      </c>
      <c r="D11" s="289">
        <f t="shared" si="2"/>
        <v>0</v>
      </c>
      <c r="E11" s="288">
        <v>0</v>
      </c>
      <c r="F11" s="290">
        <f t="shared" si="4"/>
        <v>0</v>
      </c>
      <c r="G11" s="291">
        <v>0</v>
      </c>
      <c r="H11" s="288">
        <v>0</v>
      </c>
      <c r="I11" s="292"/>
      <c r="J11" s="288">
        <v>0</v>
      </c>
      <c r="K11" s="293">
        <f t="shared" si="7"/>
        <v>0</v>
      </c>
      <c r="L11" s="291">
        <v>0</v>
      </c>
      <c r="M11" s="288">
        <v>0</v>
      </c>
      <c r="N11" s="292">
        <v>0</v>
      </c>
      <c r="O11" s="288">
        <v>0</v>
      </c>
      <c r="P11" s="289">
        <f t="shared" si="10"/>
        <v>0</v>
      </c>
      <c r="Q11" s="510">
        <f t="shared" si="24"/>
        <v>0</v>
      </c>
      <c r="R11" s="288">
        <v>0</v>
      </c>
      <c r="S11" s="292"/>
      <c r="T11" s="288">
        <v>0</v>
      </c>
      <c r="U11" s="292">
        <f t="shared" si="14"/>
        <v>0</v>
      </c>
      <c r="V11" s="292"/>
      <c r="W11" s="288">
        <v>0</v>
      </c>
      <c r="X11" s="292">
        <v>0</v>
      </c>
      <c r="Y11" s="288">
        <v>0</v>
      </c>
      <c r="Z11" s="292">
        <f t="shared" si="17"/>
        <v>0</v>
      </c>
      <c r="AA11" s="292"/>
      <c r="AB11" s="288">
        <v>0</v>
      </c>
      <c r="AC11" s="292"/>
      <c r="AD11" s="288">
        <v>0</v>
      </c>
      <c r="AE11" s="292">
        <f t="shared" si="20"/>
        <v>0</v>
      </c>
      <c r="AF11" s="292"/>
      <c r="AG11" s="288">
        <v>0</v>
      </c>
      <c r="AH11" s="292"/>
      <c r="AI11" s="288">
        <v>0</v>
      </c>
      <c r="AJ11" s="504">
        <f t="shared" si="26"/>
        <v>0</v>
      </c>
      <c r="AK11" s="292"/>
      <c r="AL11" s="288">
        <v>0</v>
      </c>
      <c r="AM11" s="292">
        <v>0</v>
      </c>
      <c r="AN11" s="288">
        <v>0</v>
      </c>
      <c r="AO11" s="511">
        <f t="shared" si="23"/>
        <v>0</v>
      </c>
      <c r="AQ11" s="501"/>
      <c r="AR11" s="501"/>
    </row>
    <row r="12" spans="1:44" x14ac:dyDescent="0.25">
      <c r="A12" s="539" t="s">
        <v>477</v>
      </c>
      <c r="B12" s="287">
        <f t="shared" si="0"/>
        <v>24</v>
      </c>
      <c r="C12" s="288">
        <f t="shared" si="1"/>
        <v>1</v>
      </c>
      <c r="D12" s="289">
        <f t="shared" si="2"/>
        <v>0</v>
      </c>
      <c r="E12" s="288">
        <f t="shared" si="3"/>
        <v>0</v>
      </c>
      <c r="F12" s="290">
        <f t="shared" si="4"/>
        <v>24</v>
      </c>
      <c r="G12" s="291">
        <v>4</v>
      </c>
      <c r="H12" s="288">
        <f t="shared" si="5"/>
        <v>1</v>
      </c>
      <c r="I12" s="292"/>
      <c r="J12" s="288">
        <f t="shared" si="6"/>
        <v>0</v>
      </c>
      <c r="K12" s="293">
        <f t="shared" si="7"/>
        <v>4</v>
      </c>
      <c r="L12" s="291">
        <v>20</v>
      </c>
      <c r="M12" s="288">
        <f t="shared" si="8"/>
        <v>1</v>
      </c>
      <c r="N12" s="292"/>
      <c r="O12" s="288">
        <f t="shared" si="9"/>
        <v>0</v>
      </c>
      <c r="P12" s="289">
        <f t="shared" si="10"/>
        <v>20</v>
      </c>
      <c r="Q12" s="510">
        <f t="shared" si="24"/>
        <v>4</v>
      </c>
      <c r="R12" s="288">
        <f t="shared" si="11"/>
        <v>1</v>
      </c>
      <c r="S12" s="292"/>
      <c r="T12" s="288">
        <f t="shared" si="13"/>
        <v>0</v>
      </c>
      <c r="U12" s="292">
        <f t="shared" si="14"/>
        <v>4</v>
      </c>
      <c r="V12" s="292">
        <v>1</v>
      </c>
      <c r="W12" s="288">
        <f t="shared" si="15"/>
        <v>1</v>
      </c>
      <c r="X12" s="292">
        <v>0</v>
      </c>
      <c r="Y12" s="288">
        <f t="shared" si="16"/>
        <v>0</v>
      </c>
      <c r="Z12" s="292">
        <f t="shared" si="17"/>
        <v>1</v>
      </c>
      <c r="AA12" s="292"/>
      <c r="AB12" s="288">
        <v>0</v>
      </c>
      <c r="AC12" s="292"/>
      <c r="AD12" s="288">
        <v>0</v>
      </c>
      <c r="AE12" s="292">
        <f t="shared" si="20"/>
        <v>0</v>
      </c>
      <c r="AF12" s="292"/>
      <c r="AG12" s="288">
        <v>0</v>
      </c>
      <c r="AH12" s="292"/>
      <c r="AI12" s="288">
        <v>0</v>
      </c>
      <c r="AJ12" s="504">
        <f t="shared" si="26"/>
        <v>0</v>
      </c>
      <c r="AK12" s="292"/>
      <c r="AL12" s="288">
        <v>0</v>
      </c>
      <c r="AM12" s="292">
        <v>0</v>
      </c>
      <c r="AN12" s="288">
        <v>0</v>
      </c>
      <c r="AO12" s="511">
        <f t="shared" si="23"/>
        <v>0</v>
      </c>
      <c r="AQ12" s="501"/>
      <c r="AR12" s="501"/>
    </row>
    <row r="13" spans="1:44" x14ac:dyDescent="0.25">
      <c r="A13" s="539" t="s">
        <v>422</v>
      </c>
      <c r="B13" s="287">
        <f t="shared" si="0"/>
        <v>10</v>
      </c>
      <c r="C13" s="288">
        <f t="shared" si="1"/>
        <v>0.7142857142857143</v>
      </c>
      <c r="D13" s="289">
        <f t="shared" si="2"/>
        <v>4</v>
      </c>
      <c r="E13" s="288">
        <f t="shared" si="3"/>
        <v>0.2857142857142857</v>
      </c>
      <c r="F13" s="290">
        <f t="shared" si="4"/>
        <v>14</v>
      </c>
      <c r="G13" s="291">
        <v>10</v>
      </c>
      <c r="H13" s="288">
        <f t="shared" si="5"/>
        <v>0.7142857142857143</v>
      </c>
      <c r="I13" s="292">
        <v>4</v>
      </c>
      <c r="J13" s="288">
        <f t="shared" si="6"/>
        <v>0.2857142857142857</v>
      </c>
      <c r="K13" s="293">
        <f t="shared" si="7"/>
        <v>14</v>
      </c>
      <c r="L13" s="291">
        <v>0</v>
      </c>
      <c r="M13" s="288">
        <v>0</v>
      </c>
      <c r="N13" s="292">
        <v>0</v>
      </c>
      <c r="O13" s="288">
        <v>0</v>
      </c>
      <c r="P13" s="289">
        <f t="shared" si="10"/>
        <v>0</v>
      </c>
      <c r="Q13" s="510">
        <f t="shared" si="24"/>
        <v>10</v>
      </c>
      <c r="R13" s="288">
        <v>0</v>
      </c>
      <c r="S13" s="292">
        <v>4</v>
      </c>
      <c r="T13" s="288">
        <v>0</v>
      </c>
      <c r="U13" s="292">
        <f t="shared" si="14"/>
        <v>14</v>
      </c>
      <c r="V13" s="292">
        <v>0</v>
      </c>
      <c r="W13" s="288">
        <v>0</v>
      </c>
      <c r="X13" s="292">
        <v>0</v>
      </c>
      <c r="Y13" s="288">
        <v>0</v>
      </c>
      <c r="Z13" s="292">
        <f t="shared" si="17"/>
        <v>0</v>
      </c>
      <c r="AA13" s="292">
        <v>0</v>
      </c>
      <c r="AB13" s="288">
        <v>0</v>
      </c>
      <c r="AC13" s="292">
        <v>0</v>
      </c>
      <c r="AD13" s="288">
        <v>0</v>
      </c>
      <c r="AE13" s="292">
        <f t="shared" si="20"/>
        <v>0</v>
      </c>
      <c r="AF13" s="292"/>
      <c r="AG13" s="288">
        <v>0</v>
      </c>
      <c r="AH13" s="292">
        <v>0</v>
      </c>
      <c r="AI13" s="288">
        <v>0</v>
      </c>
      <c r="AJ13" s="504">
        <f t="shared" si="26"/>
        <v>0</v>
      </c>
      <c r="AK13" s="292">
        <v>0</v>
      </c>
      <c r="AL13" s="288">
        <v>0</v>
      </c>
      <c r="AM13" s="292">
        <v>0</v>
      </c>
      <c r="AN13" s="288">
        <v>0</v>
      </c>
      <c r="AO13" s="511">
        <f t="shared" si="23"/>
        <v>0</v>
      </c>
      <c r="AQ13" s="501"/>
      <c r="AR13" s="501"/>
    </row>
    <row r="14" spans="1:44" x14ac:dyDescent="0.25">
      <c r="A14" s="539" t="s">
        <v>426</v>
      </c>
      <c r="B14" s="287">
        <f>G14+L14</f>
        <v>41</v>
      </c>
      <c r="C14" s="288">
        <f>B14/F14</f>
        <v>0.69491525423728817</v>
      </c>
      <c r="D14" s="289">
        <f>I14+N14</f>
        <v>18</v>
      </c>
      <c r="E14" s="288">
        <f>D14/F14</f>
        <v>0.30508474576271188</v>
      </c>
      <c r="F14" s="290">
        <f>B14+D14</f>
        <v>59</v>
      </c>
      <c r="G14" s="291">
        <v>40</v>
      </c>
      <c r="H14" s="288">
        <f>G14/K14</f>
        <v>0.75471698113207553</v>
      </c>
      <c r="I14" s="292">
        <v>13</v>
      </c>
      <c r="J14" s="288">
        <f>I14/K14</f>
        <v>0.24528301886792453</v>
      </c>
      <c r="K14" s="293">
        <f>G14+I14</f>
        <v>53</v>
      </c>
      <c r="L14" s="291">
        <v>1</v>
      </c>
      <c r="M14" s="288">
        <f>L14/P14</f>
        <v>0.16666666666666666</v>
      </c>
      <c r="N14" s="292">
        <v>5</v>
      </c>
      <c r="O14" s="288">
        <f>N14/P14</f>
        <v>0.83333333333333337</v>
      </c>
      <c r="P14" s="289">
        <f>L14+N14</f>
        <v>6</v>
      </c>
      <c r="Q14" s="510">
        <f t="shared" si="24"/>
        <v>41</v>
      </c>
      <c r="R14" s="288">
        <f>Q14/U14</f>
        <v>0.77358490566037741</v>
      </c>
      <c r="S14" s="292">
        <v>12</v>
      </c>
      <c r="T14" s="288">
        <f>S14/U14</f>
        <v>0.22641509433962265</v>
      </c>
      <c r="U14" s="292">
        <f t="shared" si="14"/>
        <v>53</v>
      </c>
      <c r="V14" s="292"/>
      <c r="W14" s="288">
        <f>V14/Z14</f>
        <v>0</v>
      </c>
      <c r="X14" s="292">
        <v>1</v>
      </c>
      <c r="Y14" s="288">
        <f>X14/Z14</f>
        <v>1</v>
      </c>
      <c r="Z14" s="292">
        <f t="shared" si="17"/>
        <v>1</v>
      </c>
      <c r="AA14" s="292"/>
      <c r="AB14" s="288">
        <v>0</v>
      </c>
      <c r="AC14" s="292"/>
      <c r="AD14" s="288">
        <v>0</v>
      </c>
      <c r="AE14" s="292">
        <f t="shared" si="20"/>
        <v>0</v>
      </c>
      <c r="AF14" s="292"/>
      <c r="AG14" s="288">
        <v>0</v>
      </c>
      <c r="AH14" s="292"/>
      <c r="AI14" s="288">
        <v>0</v>
      </c>
      <c r="AJ14" s="504">
        <f t="shared" si="26"/>
        <v>0</v>
      </c>
      <c r="AK14" s="292"/>
      <c r="AL14" s="288">
        <v>0</v>
      </c>
      <c r="AM14" s="292">
        <v>0</v>
      </c>
      <c r="AN14" s="288">
        <v>0</v>
      </c>
      <c r="AO14" s="511">
        <f t="shared" si="23"/>
        <v>0</v>
      </c>
      <c r="AQ14" s="501"/>
      <c r="AR14" s="501"/>
    </row>
    <row r="15" spans="1:44" s="263" customFormat="1" x14ac:dyDescent="0.25">
      <c r="A15" s="538" t="s">
        <v>428</v>
      </c>
      <c r="B15" s="592">
        <f t="shared" si="0"/>
        <v>721</v>
      </c>
      <c r="C15" s="593">
        <f t="shared" si="1"/>
        <v>0.85426540284360186</v>
      </c>
      <c r="D15" s="594">
        <f t="shared" si="2"/>
        <v>123</v>
      </c>
      <c r="E15" s="593">
        <f t="shared" si="3"/>
        <v>0.14573459715639811</v>
      </c>
      <c r="F15" s="595">
        <f t="shared" si="4"/>
        <v>844</v>
      </c>
      <c r="G15" s="284">
        <f>SUM(G16:G19)</f>
        <v>580</v>
      </c>
      <c r="H15" s="593">
        <f t="shared" si="5"/>
        <v>0.82503556187766713</v>
      </c>
      <c r="I15" s="285">
        <f>SUM(I16:I19)</f>
        <v>123</v>
      </c>
      <c r="J15" s="593">
        <f t="shared" si="6"/>
        <v>0.17496443812233287</v>
      </c>
      <c r="K15" s="596">
        <f t="shared" si="7"/>
        <v>703</v>
      </c>
      <c r="L15" s="284">
        <f>SUM(L16:L19)</f>
        <v>141</v>
      </c>
      <c r="M15" s="593">
        <f t="shared" si="8"/>
        <v>1</v>
      </c>
      <c r="N15" s="285">
        <f>SUM(N16:N19)</f>
        <v>0</v>
      </c>
      <c r="O15" s="593">
        <f t="shared" si="9"/>
        <v>0</v>
      </c>
      <c r="P15" s="594">
        <f t="shared" si="10"/>
        <v>141</v>
      </c>
      <c r="Q15" s="597">
        <f t="shared" si="24"/>
        <v>593</v>
      </c>
      <c r="R15" s="593">
        <f t="shared" si="11"/>
        <v>0.84352773826458038</v>
      </c>
      <c r="S15" s="285">
        <f t="shared" ref="S15:AC15" si="27">SUM(S16:S19)</f>
        <v>110</v>
      </c>
      <c r="T15" s="593">
        <f t="shared" si="13"/>
        <v>0.15647226173541964</v>
      </c>
      <c r="U15" s="285">
        <f t="shared" si="14"/>
        <v>703</v>
      </c>
      <c r="V15" s="285">
        <f t="shared" si="27"/>
        <v>1</v>
      </c>
      <c r="W15" s="593">
        <f t="shared" si="15"/>
        <v>0.33333333333333331</v>
      </c>
      <c r="X15" s="285">
        <f t="shared" si="27"/>
        <v>2</v>
      </c>
      <c r="Y15" s="593">
        <f t="shared" si="16"/>
        <v>0.66666666666666663</v>
      </c>
      <c r="Z15" s="285">
        <f t="shared" si="17"/>
        <v>3</v>
      </c>
      <c r="AA15" s="285">
        <f t="shared" si="27"/>
        <v>34</v>
      </c>
      <c r="AB15" s="593">
        <f t="shared" si="18"/>
        <v>0.75555555555555554</v>
      </c>
      <c r="AC15" s="285">
        <f t="shared" si="27"/>
        <v>11</v>
      </c>
      <c r="AD15" s="593">
        <f t="shared" si="19"/>
        <v>0.24444444444444444</v>
      </c>
      <c r="AE15" s="285">
        <f t="shared" si="20"/>
        <v>45</v>
      </c>
      <c r="AF15" s="285"/>
      <c r="AG15" s="593">
        <v>0</v>
      </c>
      <c r="AH15" s="285">
        <f>SUM(AH16:AH19)</f>
        <v>0</v>
      </c>
      <c r="AI15" s="593">
        <v>0</v>
      </c>
      <c r="AJ15" s="598">
        <f t="shared" si="26"/>
        <v>0</v>
      </c>
      <c r="AK15" s="285">
        <f>SUM(AK16:AK19)</f>
        <v>1</v>
      </c>
      <c r="AL15" s="593">
        <f t="shared" si="21"/>
        <v>1</v>
      </c>
      <c r="AM15" s="285">
        <f>SUM(AM16:AM19)</f>
        <v>0</v>
      </c>
      <c r="AN15" s="593">
        <f t="shared" si="22"/>
        <v>0</v>
      </c>
      <c r="AO15" s="509">
        <f t="shared" si="23"/>
        <v>1</v>
      </c>
      <c r="AQ15" s="501"/>
      <c r="AR15" s="501"/>
    </row>
    <row r="16" spans="1:44" x14ac:dyDescent="0.25">
      <c r="A16" s="539" t="s">
        <v>429</v>
      </c>
      <c r="B16" s="287">
        <f t="shared" si="0"/>
        <v>599</v>
      </c>
      <c r="C16" s="288">
        <f t="shared" si="1"/>
        <v>0.91871165644171782</v>
      </c>
      <c r="D16" s="289">
        <f t="shared" si="2"/>
        <v>53</v>
      </c>
      <c r="E16" s="288">
        <f t="shared" si="3"/>
        <v>8.1288343558282211E-2</v>
      </c>
      <c r="F16" s="290">
        <f t="shared" si="4"/>
        <v>652</v>
      </c>
      <c r="G16" s="291">
        <v>458</v>
      </c>
      <c r="H16" s="288">
        <f t="shared" si="5"/>
        <v>0.89628180039138938</v>
      </c>
      <c r="I16" s="292">
        <v>53</v>
      </c>
      <c r="J16" s="288">
        <f t="shared" si="6"/>
        <v>0.10371819960861056</v>
      </c>
      <c r="K16" s="293">
        <f t="shared" si="7"/>
        <v>511</v>
      </c>
      <c r="L16" s="291">
        <v>141</v>
      </c>
      <c r="M16" s="288">
        <f t="shared" si="8"/>
        <v>1</v>
      </c>
      <c r="N16" s="292">
        <v>0</v>
      </c>
      <c r="O16" s="288">
        <f t="shared" si="9"/>
        <v>0</v>
      </c>
      <c r="P16" s="289">
        <f t="shared" si="10"/>
        <v>141</v>
      </c>
      <c r="Q16" s="510">
        <f t="shared" si="24"/>
        <v>468</v>
      </c>
      <c r="R16" s="288">
        <f t="shared" si="11"/>
        <v>0.91585127201565553</v>
      </c>
      <c r="S16" s="292">
        <v>43</v>
      </c>
      <c r="T16" s="288">
        <f t="shared" si="13"/>
        <v>8.4148727984344418E-2</v>
      </c>
      <c r="U16" s="292">
        <f t="shared" si="14"/>
        <v>511</v>
      </c>
      <c r="V16" s="292">
        <v>0</v>
      </c>
      <c r="W16" s="288">
        <v>0</v>
      </c>
      <c r="X16" s="292">
        <v>0</v>
      </c>
      <c r="Y16" s="288">
        <v>0</v>
      </c>
      <c r="Z16" s="292">
        <f t="shared" si="17"/>
        <v>0</v>
      </c>
      <c r="AA16" s="292">
        <v>27</v>
      </c>
      <c r="AB16" s="288">
        <f t="shared" si="18"/>
        <v>0.72972972972972971</v>
      </c>
      <c r="AC16" s="292">
        <v>10</v>
      </c>
      <c r="AD16" s="288">
        <f t="shared" si="19"/>
        <v>0.27027027027027029</v>
      </c>
      <c r="AE16" s="292">
        <f t="shared" si="20"/>
        <v>37</v>
      </c>
      <c r="AF16" s="292"/>
      <c r="AG16" s="288">
        <v>0</v>
      </c>
      <c r="AH16" s="292">
        <v>0</v>
      </c>
      <c r="AI16" s="288">
        <v>0</v>
      </c>
      <c r="AJ16" s="504">
        <f t="shared" si="26"/>
        <v>0</v>
      </c>
      <c r="AK16" s="292">
        <v>1</v>
      </c>
      <c r="AL16" s="288">
        <f t="shared" si="21"/>
        <v>1</v>
      </c>
      <c r="AM16" s="292">
        <v>0</v>
      </c>
      <c r="AN16" s="288">
        <f t="shared" si="22"/>
        <v>0</v>
      </c>
      <c r="AO16" s="511">
        <f t="shared" si="23"/>
        <v>1</v>
      </c>
      <c r="AQ16" s="501"/>
      <c r="AR16" s="501"/>
    </row>
    <row r="17" spans="1:44" x14ac:dyDescent="0.25">
      <c r="A17" s="539" t="s">
        <v>427</v>
      </c>
      <c r="B17" s="287">
        <f t="shared" si="0"/>
        <v>10</v>
      </c>
      <c r="C17" s="288">
        <f t="shared" si="1"/>
        <v>0.66666666666666663</v>
      </c>
      <c r="D17" s="289">
        <f t="shared" si="2"/>
        <v>5</v>
      </c>
      <c r="E17" s="288">
        <f t="shared" si="3"/>
        <v>0.33333333333333331</v>
      </c>
      <c r="F17" s="290">
        <f t="shared" si="4"/>
        <v>15</v>
      </c>
      <c r="G17" s="291">
        <v>10</v>
      </c>
      <c r="H17" s="288">
        <f t="shared" si="5"/>
        <v>0.66666666666666663</v>
      </c>
      <c r="I17" s="292">
        <v>5</v>
      </c>
      <c r="J17" s="288">
        <f t="shared" si="6"/>
        <v>0.33333333333333331</v>
      </c>
      <c r="K17" s="293">
        <f t="shared" si="7"/>
        <v>15</v>
      </c>
      <c r="L17" s="295">
        <v>0</v>
      </c>
      <c r="M17" s="288">
        <v>0</v>
      </c>
      <c r="N17" s="296">
        <v>0</v>
      </c>
      <c r="O17" s="288">
        <v>0</v>
      </c>
      <c r="P17" s="289">
        <f t="shared" si="10"/>
        <v>0</v>
      </c>
      <c r="Q17" s="510">
        <f t="shared" si="24"/>
        <v>11</v>
      </c>
      <c r="R17" s="288">
        <v>0</v>
      </c>
      <c r="S17" s="296">
        <v>4</v>
      </c>
      <c r="T17" s="288">
        <v>0</v>
      </c>
      <c r="U17" s="296">
        <f t="shared" si="14"/>
        <v>15</v>
      </c>
      <c r="V17" s="296"/>
      <c r="W17" s="288">
        <v>0</v>
      </c>
      <c r="X17" s="296">
        <v>1</v>
      </c>
      <c r="Y17" s="288">
        <v>0</v>
      </c>
      <c r="Z17" s="296">
        <f t="shared" si="17"/>
        <v>1</v>
      </c>
      <c r="AA17" s="296">
        <v>2</v>
      </c>
      <c r="AB17" s="288">
        <v>0</v>
      </c>
      <c r="AC17" s="296"/>
      <c r="AD17" s="288">
        <v>0</v>
      </c>
      <c r="AE17" s="296">
        <f t="shared" si="20"/>
        <v>2</v>
      </c>
      <c r="AF17" s="296"/>
      <c r="AG17" s="288">
        <v>0</v>
      </c>
      <c r="AH17" s="296"/>
      <c r="AI17" s="288">
        <v>0</v>
      </c>
      <c r="AJ17" s="504">
        <f t="shared" si="26"/>
        <v>0</v>
      </c>
      <c r="AK17" s="296"/>
      <c r="AL17" s="288">
        <v>0</v>
      </c>
      <c r="AM17" s="296">
        <v>0</v>
      </c>
      <c r="AN17" s="288">
        <v>0</v>
      </c>
      <c r="AO17" s="513">
        <f t="shared" si="23"/>
        <v>0</v>
      </c>
      <c r="AQ17" s="501"/>
      <c r="AR17" s="501"/>
    </row>
    <row r="18" spans="1:44" x14ac:dyDescent="0.25">
      <c r="A18" s="539" t="s">
        <v>430</v>
      </c>
      <c r="B18" s="287">
        <f t="shared" si="0"/>
        <v>95</v>
      </c>
      <c r="C18" s="288">
        <f t="shared" si="1"/>
        <v>0.61290322580645162</v>
      </c>
      <c r="D18" s="289">
        <f t="shared" si="2"/>
        <v>60</v>
      </c>
      <c r="E18" s="288">
        <f t="shared" si="3"/>
        <v>0.38709677419354838</v>
      </c>
      <c r="F18" s="290">
        <f t="shared" si="4"/>
        <v>155</v>
      </c>
      <c r="G18" s="291">
        <v>95</v>
      </c>
      <c r="H18" s="288">
        <f t="shared" si="5"/>
        <v>0.61290322580645162</v>
      </c>
      <c r="I18" s="292">
        <v>60</v>
      </c>
      <c r="J18" s="288">
        <f t="shared" si="6"/>
        <v>0.38709677419354838</v>
      </c>
      <c r="K18" s="293">
        <f t="shared" si="7"/>
        <v>155</v>
      </c>
      <c r="L18" s="291">
        <v>0</v>
      </c>
      <c r="M18" s="288">
        <v>0</v>
      </c>
      <c r="N18" s="292">
        <v>0</v>
      </c>
      <c r="O18" s="288">
        <v>0</v>
      </c>
      <c r="P18" s="289">
        <f t="shared" si="10"/>
        <v>0</v>
      </c>
      <c r="Q18" s="510">
        <f t="shared" si="24"/>
        <v>97</v>
      </c>
      <c r="R18" s="288">
        <v>0</v>
      </c>
      <c r="S18" s="292">
        <v>58</v>
      </c>
      <c r="T18" s="288">
        <v>0</v>
      </c>
      <c r="U18" s="292">
        <f t="shared" si="14"/>
        <v>155</v>
      </c>
      <c r="V18" s="292"/>
      <c r="W18" s="288">
        <v>0</v>
      </c>
      <c r="X18" s="292">
        <v>1</v>
      </c>
      <c r="Y18" s="288">
        <v>0</v>
      </c>
      <c r="Z18" s="292">
        <f t="shared" si="17"/>
        <v>1</v>
      </c>
      <c r="AA18" s="292">
        <v>5</v>
      </c>
      <c r="AB18" s="288">
        <v>0</v>
      </c>
      <c r="AC18" s="292">
        <v>1</v>
      </c>
      <c r="AD18" s="288">
        <v>0</v>
      </c>
      <c r="AE18" s="292">
        <f t="shared" si="20"/>
        <v>6</v>
      </c>
      <c r="AF18" s="292"/>
      <c r="AG18" s="288">
        <v>0</v>
      </c>
      <c r="AH18" s="292"/>
      <c r="AI18" s="288">
        <v>0</v>
      </c>
      <c r="AJ18" s="504">
        <f t="shared" si="26"/>
        <v>0</v>
      </c>
      <c r="AK18" s="292"/>
      <c r="AL18" s="288">
        <v>0</v>
      </c>
      <c r="AM18" s="292">
        <v>0</v>
      </c>
      <c r="AN18" s="288">
        <v>0</v>
      </c>
      <c r="AO18" s="511">
        <f t="shared" si="23"/>
        <v>0</v>
      </c>
      <c r="AQ18" s="501"/>
      <c r="AR18" s="501"/>
    </row>
    <row r="19" spans="1:44" x14ac:dyDescent="0.25">
      <c r="A19" s="539" t="s">
        <v>431</v>
      </c>
      <c r="B19" s="287">
        <f t="shared" si="0"/>
        <v>17</v>
      </c>
      <c r="C19" s="288">
        <f t="shared" si="1"/>
        <v>0.77272727272727271</v>
      </c>
      <c r="D19" s="289">
        <f t="shared" si="2"/>
        <v>5</v>
      </c>
      <c r="E19" s="288">
        <f t="shared" si="3"/>
        <v>0.22727272727272727</v>
      </c>
      <c r="F19" s="290">
        <f t="shared" si="4"/>
        <v>22</v>
      </c>
      <c r="G19" s="291">
        <v>17</v>
      </c>
      <c r="H19" s="288">
        <f t="shared" si="5"/>
        <v>0.77272727272727271</v>
      </c>
      <c r="I19" s="292">
        <v>5</v>
      </c>
      <c r="J19" s="288">
        <f t="shared" si="6"/>
        <v>0.22727272727272727</v>
      </c>
      <c r="K19" s="293">
        <f t="shared" si="7"/>
        <v>22</v>
      </c>
      <c r="L19" s="291">
        <v>0</v>
      </c>
      <c r="M19" s="288">
        <v>0</v>
      </c>
      <c r="N19" s="292">
        <v>0</v>
      </c>
      <c r="O19" s="288">
        <v>0</v>
      </c>
      <c r="P19" s="289">
        <f t="shared" si="10"/>
        <v>0</v>
      </c>
      <c r="Q19" s="510">
        <f t="shared" si="24"/>
        <v>17</v>
      </c>
      <c r="R19" s="288">
        <v>0</v>
      </c>
      <c r="S19" s="292">
        <v>5</v>
      </c>
      <c r="T19" s="288">
        <v>0</v>
      </c>
      <c r="U19" s="292">
        <f t="shared" si="14"/>
        <v>22</v>
      </c>
      <c r="V19" s="292">
        <v>1</v>
      </c>
      <c r="W19" s="288">
        <v>0</v>
      </c>
      <c r="X19" s="292">
        <v>0</v>
      </c>
      <c r="Y19" s="288">
        <v>0</v>
      </c>
      <c r="Z19" s="292">
        <f t="shared" si="17"/>
        <v>1</v>
      </c>
      <c r="AA19" s="292"/>
      <c r="AB19" s="288">
        <v>0</v>
      </c>
      <c r="AC19" s="292"/>
      <c r="AD19" s="288">
        <v>0</v>
      </c>
      <c r="AE19" s="292">
        <f t="shared" si="20"/>
        <v>0</v>
      </c>
      <c r="AF19" s="292"/>
      <c r="AG19" s="288">
        <v>0</v>
      </c>
      <c r="AH19" s="292">
        <v>0</v>
      </c>
      <c r="AI19" s="288">
        <v>0</v>
      </c>
      <c r="AJ19" s="504">
        <f t="shared" si="26"/>
        <v>0</v>
      </c>
      <c r="AK19" s="292">
        <v>0</v>
      </c>
      <c r="AL19" s="288">
        <v>0</v>
      </c>
      <c r="AM19" s="292">
        <v>0</v>
      </c>
      <c r="AN19" s="288">
        <v>0</v>
      </c>
      <c r="AO19" s="511">
        <f t="shared" si="23"/>
        <v>0</v>
      </c>
      <c r="AQ19" s="501"/>
      <c r="AR19" s="501"/>
    </row>
    <row r="20" spans="1:44" s="263" customFormat="1" x14ac:dyDescent="0.25">
      <c r="A20" s="538" t="s">
        <v>432</v>
      </c>
      <c r="B20" s="592">
        <f t="shared" si="0"/>
        <v>4328</v>
      </c>
      <c r="C20" s="593">
        <f t="shared" si="1"/>
        <v>0.88056968463886065</v>
      </c>
      <c r="D20" s="594">
        <f t="shared" si="2"/>
        <v>587</v>
      </c>
      <c r="E20" s="593">
        <f t="shared" si="3"/>
        <v>0.11943031536113936</v>
      </c>
      <c r="F20" s="595">
        <f t="shared" si="4"/>
        <v>4915</v>
      </c>
      <c r="G20" s="284">
        <f>SUM(G21:G32)</f>
        <v>3293</v>
      </c>
      <c r="H20" s="593">
        <f t="shared" si="5"/>
        <v>0.84871134020618555</v>
      </c>
      <c r="I20" s="285">
        <f>SUM(I21:I32)</f>
        <v>587</v>
      </c>
      <c r="J20" s="593">
        <f t="shared" si="6"/>
        <v>0.15128865979381442</v>
      </c>
      <c r="K20" s="596">
        <f t="shared" si="7"/>
        <v>3880</v>
      </c>
      <c r="L20" s="284">
        <f>SUM(L21:L32)</f>
        <v>1035</v>
      </c>
      <c r="M20" s="593">
        <f t="shared" si="8"/>
        <v>1</v>
      </c>
      <c r="N20" s="285">
        <f>SUM(N21:N32)</f>
        <v>0</v>
      </c>
      <c r="O20" s="593">
        <f t="shared" si="9"/>
        <v>0</v>
      </c>
      <c r="P20" s="594">
        <f t="shared" si="10"/>
        <v>1035</v>
      </c>
      <c r="Q20" s="597">
        <f t="shared" si="24"/>
        <v>3305</v>
      </c>
      <c r="R20" s="593">
        <f t="shared" si="11"/>
        <v>0.85180412371134018</v>
      </c>
      <c r="S20" s="285">
        <f t="shared" ref="S20:AC20" si="28">SUM(S21:S32)</f>
        <v>575</v>
      </c>
      <c r="T20" s="593">
        <f t="shared" si="13"/>
        <v>0.14819587628865979</v>
      </c>
      <c r="U20" s="285">
        <f t="shared" si="14"/>
        <v>3880</v>
      </c>
      <c r="V20" s="285">
        <f t="shared" si="28"/>
        <v>2</v>
      </c>
      <c r="W20" s="593">
        <f t="shared" si="15"/>
        <v>0.4</v>
      </c>
      <c r="X20" s="285">
        <f t="shared" si="28"/>
        <v>3</v>
      </c>
      <c r="Y20" s="593">
        <f t="shared" si="16"/>
        <v>0.6</v>
      </c>
      <c r="Z20" s="285">
        <f t="shared" si="17"/>
        <v>5</v>
      </c>
      <c r="AA20" s="285">
        <f t="shared" si="28"/>
        <v>3</v>
      </c>
      <c r="AB20" s="593">
        <f t="shared" si="18"/>
        <v>0.5</v>
      </c>
      <c r="AC20" s="285">
        <f t="shared" si="28"/>
        <v>3</v>
      </c>
      <c r="AD20" s="593">
        <f t="shared" si="19"/>
        <v>0.5</v>
      </c>
      <c r="AE20" s="285">
        <f t="shared" si="20"/>
        <v>6</v>
      </c>
      <c r="AF20" s="285"/>
      <c r="AG20" s="593">
        <v>0</v>
      </c>
      <c r="AH20" s="285">
        <f>SUM(AH21:AH32)</f>
        <v>1</v>
      </c>
      <c r="AI20" s="593">
        <f t="shared" ref="AI20" si="29">AH20/AJ20</f>
        <v>1</v>
      </c>
      <c r="AJ20" s="598">
        <f t="shared" si="26"/>
        <v>1</v>
      </c>
      <c r="AK20" s="285">
        <f>SUM(AK21:AK32)</f>
        <v>1</v>
      </c>
      <c r="AL20" s="593">
        <f t="shared" si="21"/>
        <v>0.16666666666666666</v>
      </c>
      <c r="AM20" s="285">
        <f>SUM(AM21:AM32)</f>
        <v>5</v>
      </c>
      <c r="AN20" s="593">
        <f t="shared" si="22"/>
        <v>0.83333333333333337</v>
      </c>
      <c r="AO20" s="509">
        <f t="shared" si="23"/>
        <v>6</v>
      </c>
      <c r="AQ20" s="501"/>
      <c r="AR20" s="501"/>
    </row>
    <row r="21" spans="1:44" x14ac:dyDescent="0.25">
      <c r="A21" s="539" t="s">
        <v>478</v>
      </c>
      <c r="B21" s="287">
        <f t="shared" si="0"/>
        <v>1508</v>
      </c>
      <c r="C21" s="288">
        <f t="shared" si="1"/>
        <v>0.8721804511278195</v>
      </c>
      <c r="D21" s="289">
        <f t="shared" si="2"/>
        <v>221</v>
      </c>
      <c r="E21" s="288">
        <f t="shared" si="3"/>
        <v>0.12781954887218044</v>
      </c>
      <c r="F21" s="290">
        <f t="shared" si="4"/>
        <v>1729</v>
      </c>
      <c r="G21" s="291">
        <v>1110</v>
      </c>
      <c r="H21" s="288">
        <f t="shared" si="5"/>
        <v>0.83395942900075126</v>
      </c>
      <c r="I21" s="292">
        <v>221</v>
      </c>
      <c r="J21" s="288">
        <f t="shared" si="6"/>
        <v>0.16604057099924868</v>
      </c>
      <c r="K21" s="293">
        <f t="shared" si="7"/>
        <v>1331</v>
      </c>
      <c r="L21" s="291">
        <v>398</v>
      </c>
      <c r="M21" s="288">
        <f t="shared" si="8"/>
        <v>1</v>
      </c>
      <c r="N21" s="292">
        <v>0</v>
      </c>
      <c r="O21" s="288">
        <f t="shared" si="9"/>
        <v>0</v>
      </c>
      <c r="P21" s="289">
        <f t="shared" si="10"/>
        <v>398</v>
      </c>
      <c r="Q21" s="510">
        <f t="shared" si="24"/>
        <v>1111</v>
      </c>
      <c r="R21" s="288">
        <f t="shared" si="11"/>
        <v>0.83471074380165289</v>
      </c>
      <c r="S21" s="292">
        <v>220</v>
      </c>
      <c r="T21" s="288">
        <f t="shared" si="13"/>
        <v>0.16528925619834711</v>
      </c>
      <c r="U21" s="292">
        <f t="shared" si="14"/>
        <v>1331</v>
      </c>
      <c r="V21" s="292">
        <v>0</v>
      </c>
      <c r="W21" s="288">
        <v>0</v>
      </c>
      <c r="X21" s="292">
        <v>0</v>
      </c>
      <c r="Y21" s="288">
        <v>0</v>
      </c>
      <c r="Z21" s="292">
        <f t="shared" si="17"/>
        <v>0</v>
      </c>
      <c r="AA21" s="292">
        <v>0</v>
      </c>
      <c r="AB21" s="288">
        <v>0</v>
      </c>
      <c r="AC21" s="292">
        <v>0</v>
      </c>
      <c r="AD21" s="288">
        <v>0</v>
      </c>
      <c r="AE21" s="292">
        <f t="shared" si="20"/>
        <v>0</v>
      </c>
      <c r="AF21" s="292"/>
      <c r="AG21" s="288">
        <v>0</v>
      </c>
      <c r="AH21" s="292">
        <v>1</v>
      </c>
      <c r="AI21" s="288">
        <v>0</v>
      </c>
      <c r="AJ21" s="504">
        <f t="shared" si="26"/>
        <v>1</v>
      </c>
      <c r="AK21" s="292">
        <v>0</v>
      </c>
      <c r="AL21" s="288">
        <v>0</v>
      </c>
      <c r="AM21" s="292">
        <v>0</v>
      </c>
      <c r="AN21" s="288">
        <v>0</v>
      </c>
      <c r="AO21" s="511">
        <f t="shared" si="23"/>
        <v>0</v>
      </c>
      <c r="AQ21" s="501"/>
      <c r="AR21" s="501"/>
    </row>
    <row r="22" spans="1:44" x14ac:dyDescent="0.25">
      <c r="A22" s="539" t="s">
        <v>479</v>
      </c>
      <c r="B22" s="287">
        <f t="shared" si="0"/>
        <v>1</v>
      </c>
      <c r="C22" s="288">
        <f t="shared" si="1"/>
        <v>1</v>
      </c>
      <c r="D22" s="289">
        <f t="shared" si="2"/>
        <v>0</v>
      </c>
      <c r="E22" s="288">
        <f t="shared" si="3"/>
        <v>0</v>
      </c>
      <c r="F22" s="290">
        <f t="shared" si="4"/>
        <v>1</v>
      </c>
      <c r="G22" s="291">
        <v>1</v>
      </c>
      <c r="H22" s="288">
        <f t="shared" si="5"/>
        <v>1</v>
      </c>
      <c r="I22" s="292">
        <v>0</v>
      </c>
      <c r="J22" s="288">
        <f t="shared" si="6"/>
        <v>0</v>
      </c>
      <c r="K22" s="293">
        <f t="shared" si="7"/>
        <v>1</v>
      </c>
      <c r="L22" s="291">
        <v>0</v>
      </c>
      <c r="M22" s="288">
        <v>0</v>
      </c>
      <c r="N22" s="292">
        <v>0</v>
      </c>
      <c r="O22" s="288">
        <v>0</v>
      </c>
      <c r="P22" s="289">
        <f t="shared" si="10"/>
        <v>0</v>
      </c>
      <c r="Q22" s="510">
        <f t="shared" si="24"/>
        <v>1</v>
      </c>
      <c r="R22" s="288">
        <v>0</v>
      </c>
      <c r="S22" s="292">
        <v>0</v>
      </c>
      <c r="T22" s="288">
        <v>0</v>
      </c>
      <c r="U22" s="292">
        <f t="shared" si="14"/>
        <v>1</v>
      </c>
      <c r="V22" s="292">
        <v>0</v>
      </c>
      <c r="W22" s="288">
        <v>0</v>
      </c>
      <c r="X22" s="292">
        <v>0</v>
      </c>
      <c r="Y22" s="288">
        <v>0</v>
      </c>
      <c r="Z22" s="292">
        <f t="shared" si="17"/>
        <v>0</v>
      </c>
      <c r="AA22" s="292">
        <v>0</v>
      </c>
      <c r="AB22" s="288">
        <v>0</v>
      </c>
      <c r="AC22" s="292">
        <v>0</v>
      </c>
      <c r="AD22" s="288">
        <v>0</v>
      </c>
      <c r="AE22" s="292">
        <f t="shared" si="20"/>
        <v>0</v>
      </c>
      <c r="AF22" s="292"/>
      <c r="AG22" s="288">
        <v>0</v>
      </c>
      <c r="AH22" s="292">
        <v>0</v>
      </c>
      <c r="AI22" s="288">
        <v>0</v>
      </c>
      <c r="AJ22" s="504">
        <f t="shared" si="26"/>
        <v>0</v>
      </c>
      <c r="AK22" s="292">
        <v>0</v>
      </c>
      <c r="AL22" s="288">
        <v>0</v>
      </c>
      <c r="AM22" s="292">
        <v>0</v>
      </c>
      <c r="AN22" s="288">
        <v>0</v>
      </c>
      <c r="AO22" s="511">
        <f t="shared" si="23"/>
        <v>0</v>
      </c>
      <c r="AQ22" s="501"/>
      <c r="AR22" s="501"/>
    </row>
    <row r="23" spans="1:44" x14ac:dyDescent="0.25">
      <c r="A23" s="539" t="s">
        <v>480</v>
      </c>
      <c r="B23" s="287">
        <f t="shared" si="0"/>
        <v>1873</v>
      </c>
      <c r="C23" s="288">
        <f t="shared" si="1"/>
        <v>0.90746124031007747</v>
      </c>
      <c r="D23" s="289">
        <f t="shared" si="2"/>
        <v>191</v>
      </c>
      <c r="E23" s="288">
        <f t="shared" si="3"/>
        <v>9.2538759689922478E-2</v>
      </c>
      <c r="F23" s="290">
        <f t="shared" si="4"/>
        <v>2064</v>
      </c>
      <c r="G23" s="291">
        <v>1521</v>
      </c>
      <c r="H23" s="288">
        <f t="shared" si="5"/>
        <v>0.8884345794392523</v>
      </c>
      <c r="I23" s="292">
        <v>191</v>
      </c>
      <c r="J23" s="288">
        <f t="shared" si="6"/>
        <v>0.11156542056074767</v>
      </c>
      <c r="K23" s="293">
        <f t="shared" si="7"/>
        <v>1712</v>
      </c>
      <c r="L23" s="291">
        <v>352</v>
      </c>
      <c r="M23" s="288">
        <f t="shared" si="8"/>
        <v>1</v>
      </c>
      <c r="N23" s="292">
        <v>0</v>
      </c>
      <c r="O23" s="288">
        <f t="shared" si="9"/>
        <v>0</v>
      </c>
      <c r="P23" s="289">
        <f t="shared" si="10"/>
        <v>352</v>
      </c>
      <c r="Q23" s="510">
        <f t="shared" si="24"/>
        <v>1521</v>
      </c>
      <c r="R23" s="288">
        <f t="shared" si="11"/>
        <v>0.8884345794392523</v>
      </c>
      <c r="S23" s="292">
        <v>191</v>
      </c>
      <c r="T23" s="288">
        <f t="shared" si="13"/>
        <v>0.11156542056074767</v>
      </c>
      <c r="U23" s="292">
        <f t="shared" si="14"/>
        <v>1712</v>
      </c>
      <c r="V23" s="292">
        <v>2</v>
      </c>
      <c r="W23" s="288">
        <f t="shared" si="15"/>
        <v>1</v>
      </c>
      <c r="X23" s="292">
        <v>0</v>
      </c>
      <c r="Y23" s="288">
        <f t="shared" si="16"/>
        <v>0</v>
      </c>
      <c r="Z23" s="292">
        <f t="shared" si="17"/>
        <v>2</v>
      </c>
      <c r="AA23" s="292">
        <v>0</v>
      </c>
      <c r="AB23" s="288">
        <v>0</v>
      </c>
      <c r="AC23" s="292">
        <v>0</v>
      </c>
      <c r="AD23" s="288">
        <v>0</v>
      </c>
      <c r="AE23" s="292">
        <f t="shared" si="20"/>
        <v>0</v>
      </c>
      <c r="AF23" s="292"/>
      <c r="AG23" s="288">
        <v>0</v>
      </c>
      <c r="AH23" s="292">
        <v>0</v>
      </c>
      <c r="AI23" s="288">
        <v>0</v>
      </c>
      <c r="AJ23" s="504">
        <f t="shared" si="26"/>
        <v>0</v>
      </c>
      <c r="AK23" s="292">
        <v>0</v>
      </c>
      <c r="AL23" s="288">
        <v>0</v>
      </c>
      <c r="AM23" s="292">
        <v>0</v>
      </c>
      <c r="AN23" s="288">
        <v>0</v>
      </c>
      <c r="AO23" s="511">
        <f t="shared" si="23"/>
        <v>0</v>
      </c>
      <c r="AQ23" s="501"/>
      <c r="AR23" s="501"/>
    </row>
    <row r="24" spans="1:44" x14ac:dyDescent="0.25">
      <c r="A24" s="539" t="s">
        <v>434</v>
      </c>
      <c r="B24" s="287">
        <f>G24+L24</f>
        <v>572</v>
      </c>
      <c r="C24" s="288">
        <f>B24/F24</f>
        <v>0.90078740157480319</v>
      </c>
      <c r="D24" s="289">
        <f>I24+N24</f>
        <v>63</v>
      </c>
      <c r="E24" s="288">
        <f>D24/F24</f>
        <v>9.9212598425196849E-2</v>
      </c>
      <c r="F24" s="290">
        <f>B24+D24</f>
        <v>635</v>
      </c>
      <c r="G24" s="291">
        <v>424</v>
      </c>
      <c r="H24" s="288">
        <f>G24/K24</f>
        <v>0.87063655030800824</v>
      </c>
      <c r="I24" s="292">
        <v>63</v>
      </c>
      <c r="J24" s="288">
        <f>I24/K24</f>
        <v>0.12936344969199179</v>
      </c>
      <c r="K24" s="293">
        <f>G24+I24</f>
        <v>487</v>
      </c>
      <c r="L24" s="291">
        <v>148</v>
      </c>
      <c r="M24" s="288">
        <f>L24/P24</f>
        <v>1</v>
      </c>
      <c r="N24" s="292">
        <v>0</v>
      </c>
      <c r="O24" s="288">
        <f>N24/P24</f>
        <v>0</v>
      </c>
      <c r="P24" s="289">
        <f>L24+N24</f>
        <v>148</v>
      </c>
      <c r="Q24" s="510">
        <f t="shared" si="24"/>
        <v>432</v>
      </c>
      <c r="R24" s="288">
        <f>Q24/U24</f>
        <v>0.88706365503080087</v>
      </c>
      <c r="S24" s="292">
        <v>55</v>
      </c>
      <c r="T24" s="288">
        <f>S24/U24</f>
        <v>0.11293634496919917</v>
      </c>
      <c r="U24" s="292">
        <f t="shared" si="14"/>
        <v>487</v>
      </c>
      <c r="V24" s="292">
        <v>0</v>
      </c>
      <c r="W24" s="288">
        <v>0</v>
      </c>
      <c r="X24" s="292">
        <v>0</v>
      </c>
      <c r="Y24" s="288">
        <v>0</v>
      </c>
      <c r="Z24" s="292">
        <f t="shared" si="17"/>
        <v>0</v>
      </c>
      <c r="AA24" s="292">
        <v>3</v>
      </c>
      <c r="AB24" s="288">
        <f>AA24/AE24</f>
        <v>0.5</v>
      </c>
      <c r="AC24" s="292">
        <v>3</v>
      </c>
      <c r="AD24" s="288">
        <f>AC24/AE24</f>
        <v>0.5</v>
      </c>
      <c r="AE24" s="292">
        <f t="shared" si="20"/>
        <v>6</v>
      </c>
      <c r="AF24" s="292"/>
      <c r="AG24" s="288">
        <v>0</v>
      </c>
      <c r="AH24" s="292">
        <v>0</v>
      </c>
      <c r="AI24" s="288">
        <v>0</v>
      </c>
      <c r="AJ24" s="504">
        <f t="shared" si="26"/>
        <v>0</v>
      </c>
      <c r="AK24" s="292">
        <v>1</v>
      </c>
      <c r="AL24" s="288">
        <f>AK24/AO24</f>
        <v>0.16666666666666666</v>
      </c>
      <c r="AM24" s="292">
        <v>5</v>
      </c>
      <c r="AN24" s="288">
        <f>AM24/AO24</f>
        <v>0.83333333333333337</v>
      </c>
      <c r="AO24" s="511">
        <f t="shared" si="23"/>
        <v>6</v>
      </c>
      <c r="AQ24" s="501"/>
      <c r="AR24" s="501"/>
    </row>
    <row r="25" spans="1:44" x14ac:dyDescent="0.25">
      <c r="A25" s="539" t="s">
        <v>422</v>
      </c>
      <c r="B25" s="287">
        <f t="shared" si="0"/>
        <v>25</v>
      </c>
      <c r="C25" s="288">
        <f t="shared" si="1"/>
        <v>0.67567567567567566</v>
      </c>
      <c r="D25" s="289">
        <f t="shared" si="2"/>
        <v>12</v>
      </c>
      <c r="E25" s="288">
        <f t="shared" si="3"/>
        <v>0.32432432432432434</v>
      </c>
      <c r="F25" s="290">
        <f t="shared" si="4"/>
        <v>37</v>
      </c>
      <c r="G25" s="291">
        <v>25</v>
      </c>
      <c r="H25" s="288">
        <f t="shared" si="5"/>
        <v>0.67567567567567566</v>
      </c>
      <c r="I25" s="292">
        <v>12</v>
      </c>
      <c r="J25" s="288">
        <f t="shared" si="6"/>
        <v>0.32432432432432434</v>
      </c>
      <c r="K25" s="293">
        <f t="shared" si="7"/>
        <v>37</v>
      </c>
      <c r="L25" s="291">
        <v>0</v>
      </c>
      <c r="M25" s="288">
        <v>0</v>
      </c>
      <c r="N25" s="292">
        <v>0</v>
      </c>
      <c r="O25" s="288">
        <v>0</v>
      </c>
      <c r="P25" s="289">
        <f t="shared" si="10"/>
        <v>0</v>
      </c>
      <c r="Q25" s="510">
        <f t="shared" si="24"/>
        <v>25</v>
      </c>
      <c r="R25" s="288">
        <v>0</v>
      </c>
      <c r="S25" s="292">
        <v>12</v>
      </c>
      <c r="T25" s="288">
        <v>0</v>
      </c>
      <c r="U25" s="292">
        <f t="shared" si="14"/>
        <v>37</v>
      </c>
      <c r="V25" s="292">
        <v>0</v>
      </c>
      <c r="W25" s="288">
        <v>0</v>
      </c>
      <c r="X25" s="292">
        <v>0</v>
      </c>
      <c r="Y25" s="288">
        <v>0</v>
      </c>
      <c r="Z25" s="292">
        <f t="shared" si="17"/>
        <v>0</v>
      </c>
      <c r="AA25" s="292">
        <v>0</v>
      </c>
      <c r="AB25" s="288">
        <v>0</v>
      </c>
      <c r="AC25" s="292">
        <v>0</v>
      </c>
      <c r="AD25" s="288">
        <v>0</v>
      </c>
      <c r="AE25" s="292">
        <f t="shared" si="20"/>
        <v>0</v>
      </c>
      <c r="AF25" s="292"/>
      <c r="AG25" s="288">
        <v>0</v>
      </c>
      <c r="AH25" s="292">
        <v>0</v>
      </c>
      <c r="AI25" s="288">
        <v>0</v>
      </c>
      <c r="AJ25" s="504">
        <f t="shared" si="26"/>
        <v>0</v>
      </c>
      <c r="AK25" s="292">
        <v>0</v>
      </c>
      <c r="AL25" s="288">
        <v>0</v>
      </c>
      <c r="AM25" s="292">
        <v>0</v>
      </c>
      <c r="AN25" s="288">
        <v>0</v>
      </c>
      <c r="AO25" s="511">
        <f t="shared" si="23"/>
        <v>0</v>
      </c>
      <c r="AQ25" s="501"/>
      <c r="AR25" s="501"/>
    </row>
    <row r="26" spans="1:44" x14ac:dyDescent="0.25">
      <c r="A26" s="539" t="s">
        <v>435</v>
      </c>
      <c r="B26" s="287">
        <f>G26+L26</f>
        <v>21</v>
      </c>
      <c r="C26" s="288">
        <f>B26/F26</f>
        <v>1</v>
      </c>
      <c r="D26" s="289">
        <f>I26+N26</f>
        <v>0</v>
      </c>
      <c r="E26" s="288">
        <f>D26/F26</f>
        <v>0</v>
      </c>
      <c r="F26" s="290">
        <f>B26+D26</f>
        <v>21</v>
      </c>
      <c r="G26" s="291">
        <v>1</v>
      </c>
      <c r="H26" s="288">
        <f>G26/K26</f>
        <v>1</v>
      </c>
      <c r="I26" s="292">
        <v>0</v>
      </c>
      <c r="J26" s="288">
        <f>I26/K26</f>
        <v>0</v>
      </c>
      <c r="K26" s="293">
        <f>G26+I26</f>
        <v>1</v>
      </c>
      <c r="L26" s="291">
        <v>20</v>
      </c>
      <c r="M26" s="288">
        <f>L26/P26</f>
        <v>1</v>
      </c>
      <c r="N26" s="292">
        <v>0</v>
      </c>
      <c r="O26" s="288">
        <f>N26/P26</f>
        <v>0</v>
      </c>
      <c r="P26" s="289">
        <f>L26+N26</f>
        <v>20</v>
      </c>
      <c r="Q26" s="510">
        <f t="shared" si="24"/>
        <v>1</v>
      </c>
      <c r="R26" s="288">
        <f>Q26/U26</f>
        <v>1</v>
      </c>
      <c r="S26" s="292">
        <v>0</v>
      </c>
      <c r="T26" s="288">
        <f>S26/U26</f>
        <v>0</v>
      </c>
      <c r="U26" s="292">
        <f t="shared" si="14"/>
        <v>1</v>
      </c>
      <c r="V26" s="292">
        <v>0</v>
      </c>
      <c r="W26" s="288">
        <v>0</v>
      </c>
      <c r="X26" s="292">
        <v>0</v>
      </c>
      <c r="Y26" s="288">
        <v>0</v>
      </c>
      <c r="Z26" s="292">
        <f t="shared" si="17"/>
        <v>0</v>
      </c>
      <c r="AA26" s="292">
        <v>0</v>
      </c>
      <c r="AB26" s="288">
        <v>0</v>
      </c>
      <c r="AC26" s="292">
        <v>0</v>
      </c>
      <c r="AD26" s="288">
        <v>0</v>
      </c>
      <c r="AE26" s="292">
        <f t="shared" si="20"/>
        <v>0</v>
      </c>
      <c r="AF26" s="292"/>
      <c r="AG26" s="288">
        <v>0</v>
      </c>
      <c r="AH26" s="292">
        <v>0</v>
      </c>
      <c r="AI26" s="288">
        <v>0</v>
      </c>
      <c r="AJ26" s="504">
        <f t="shared" si="26"/>
        <v>0</v>
      </c>
      <c r="AK26" s="292">
        <v>0</v>
      </c>
      <c r="AL26" s="288">
        <v>0</v>
      </c>
      <c r="AM26" s="292">
        <v>0</v>
      </c>
      <c r="AN26" s="288">
        <v>0</v>
      </c>
      <c r="AO26" s="511">
        <f t="shared" si="23"/>
        <v>0</v>
      </c>
      <c r="AQ26" s="501"/>
      <c r="AR26" s="501"/>
    </row>
    <row r="27" spans="1:44" x14ac:dyDescent="0.25">
      <c r="A27" s="539" t="s">
        <v>481</v>
      </c>
      <c r="B27" s="287">
        <f t="shared" si="0"/>
        <v>33</v>
      </c>
      <c r="C27" s="288">
        <f t="shared" si="1"/>
        <v>0.39285714285714285</v>
      </c>
      <c r="D27" s="289">
        <f t="shared" si="2"/>
        <v>51</v>
      </c>
      <c r="E27" s="288">
        <f t="shared" si="3"/>
        <v>0.6071428571428571</v>
      </c>
      <c r="F27" s="290">
        <f t="shared" si="4"/>
        <v>84</v>
      </c>
      <c r="G27" s="291">
        <v>33</v>
      </c>
      <c r="H27" s="288">
        <f t="shared" si="5"/>
        <v>0.39285714285714285</v>
      </c>
      <c r="I27" s="292">
        <v>51</v>
      </c>
      <c r="J27" s="288">
        <f t="shared" si="6"/>
        <v>0.6071428571428571</v>
      </c>
      <c r="K27" s="293">
        <f t="shared" si="7"/>
        <v>84</v>
      </c>
      <c r="L27" s="291">
        <v>0</v>
      </c>
      <c r="M27" s="288">
        <v>0</v>
      </c>
      <c r="N27" s="292">
        <v>0</v>
      </c>
      <c r="O27" s="288">
        <v>0</v>
      </c>
      <c r="P27" s="289">
        <f t="shared" si="10"/>
        <v>0</v>
      </c>
      <c r="Q27" s="510">
        <f t="shared" si="24"/>
        <v>34</v>
      </c>
      <c r="R27" s="288">
        <v>0</v>
      </c>
      <c r="S27" s="292">
        <v>50</v>
      </c>
      <c r="T27" s="288">
        <v>0</v>
      </c>
      <c r="U27" s="292">
        <f t="shared" si="14"/>
        <v>84</v>
      </c>
      <c r="V27" s="292">
        <v>0</v>
      </c>
      <c r="W27" s="288">
        <v>0</v>
      </c>
      <c r="X27" s="292">
        <v>1</v>
      </c>
      <c r="Y27" s="288">
        <v>0</v>
      </c>
      <c r="Z27" s="292">
        <f t="shared" si="17"/>
        <v>1</v>
      </c>
      <c r="AA27" s="292">
        <v>0</v>
      </c>
      <c r="AB27" s="288">
        <v>0</v>
      </c>
      <c r="AC27" s="292">
        <v>0</v>
      </c>
      <c r="AD27" s="288">
        <v>0</v>
      </c>
      <c r="AE27" s="292">
        <f t="shared" si="20"/>
        <v>0</v>
      </c>
      <c r="AF27" s="292"/>
      <c r="AG27" s="288">
        <v>0</v>
      </c>
      <c r="AH27" s="292">
        <v>0</v>
      </c>
      <c r="AI27" s="288">
        <v>0</v>
      </c>
      <c r="AJ27" s="504">
        <f t="shared" si="26"/>
        <v>0</v>
      </c>
      <c r="AK27" s="292">
        <v>0</v>
      </c>
      <c r="AL27" s="288">
        <v>0</v>
      </c>
      <c r="AM27" s="292">
        <v>0</v>
      </c>
      <c r="AN27" s="288">
        <v>0</v>
      </c>
      <c r="AO27" s="511">
        <f t="shared" si="23"/>
        <v>0</v>
      </c>
      <c r="AQ27" s="501"/>
      <c r="AR27" s="501"/>
    </row>
    <row r="28" spans="1:44" x14ac:dyDescent="0.25">
      <c r="A28" s="539" t="s">
        <v>436</v>
      </c>
      <c r="B28" s="287">
        <f t="shared" si="0"/>
        <v>55</v>
      </c>
      <c r="C28" s="288">
        <f t="shared" si="1"/>
        <v>0.67901234567901236</v>
      </c>
      <c r="D28" s="289">
        <f t="shared" si="2"/>
        <v>26</v>
      </c>
      <c r="E28" s="288">
        <f t="shared" si="3"/>
        <v>0.32098765432098764</v>
      </c>
      <c r="F28" s="290">
        <f t="shared" si="4"/>
        <v>81</v>
      </c>
      <c r="G28" s="291">
        <v>55</v>
      </c>
      <c r="H28" s="288">
        <f t="shared" si="5"/>
        <v>0.67901234567901236</v>
      </c>
      <c r="I28" s="292">
        <v>26</v>
      </c>
      <c r="J28" s="288">
        <f t="shared" si="6"/>
        <v>0.32098765432098764</v>
      </c>
      <c r="K28" s="293">
        <f t="shared" si="7"/>
        <v>81</v>
      </c>
      <c r="L28" s="291">
        <v>0</v>
      </c>
      <c r="M28" s="288">
        <v>0</v>
      </c>
      <c r="N28" s="292">
        <v>0</v>
      </c>
      <c r="O28" s="288">
        <v>0</v>
      </c>
      <c r="P28" s="289">
        <f t="shared" si="10"/>
        <v>0</v>
      </c>
      <c r="Q28" s="510">
        <f t="shared" si="24"/>
        <v>55</v>
      </c>
      <c r="R28" s="288">
        <v>0</v>
      </c>
      <c r="S28" s="292">
        <v>26</v>
      </c>
      <c r="T28" s="288">
        <v>0</v>
      </c>
      <c r="U28" s="292">
        <f t="shared" si="14"/>
        <v>81</v>
      </c>
      <c r="V28" s="292">
        <v>0</v>
      </c>
      <c r="W28" s="288">
        <v>0</v>
      </c>
      <c r="X28" s="292">
        <v>0</v>
      </c>
      <c r="Y28" s="288">
        <v>0</v>
      </c>
      <c r="Z28" s="292">
        <f t="shared" si="17"/>
        <v>0</v>
      </c>
      <c r="AA28" s="292">
        <v>0</v>
      </c>
      <c r="AB28" s="288">
        <v>0</v>
      </c>
      <c r="AC28" s="292">
        <v>0</v>
      </c>
      <c r="AD28" s="288">
        <v>0</v>
      </c>
      <c r="AE28" s="292">
        <f t="shared" si="20"/>
        <v>0</v>
      </c>
      <c r="AF28" s="292"/>
      <c r="AG28" s="288">
        <v>0</v>
      </c>
      <c r="AH28" s="292">
        <v>0</v>
      </c>
      <c r="AI28" s="288">
        <v>0</v>
      </c>
      <c r="AJ28" s="504">
        <f t="shared" si="26"/>
        <v>0</v>
      </c>
      <c r="AK28" s="292">
        <v>0</v>
      </c>
      <c r="AL28" s="288">
        <v>0</v>
      </c>
      <c r="AM28" s="292">
        <v>0</v>
      </c>
      <c r="AN28" s="288">
        <v>0</v>
      </c>
      <c r="AO28" s="511">
        <f t="shared" si="23"/>
        <v>0</v>
      </c>
      <c r="AQ28" s="501"/>
      <c r="AR28" s="501"/>
    </row>
    <row r="29" spans="1:44" x14ac:dyDescent="0.25">
      <c r="A29" s="539" t="s">
        <v>438</v>
      </c>
      <c r="B29" s="287">
        <f>G29+L29</f>
        <v>141</v>
      </c>
      <c r="C29" s="288">
        <f>B29/F29</f>
        <v>0.97916666666666663</v>
      </c>
      <c r="D29" s="289">
        <f>I29+N29</f>
        <v>3</v>
      </c>
      <c r="E29" s="288">
        <f>D29/F29</f>
        <v>2.0833333333333332E-2</v>
      </c>
      <c r="F29" s="290">
        <f>B29+D29</f>
        <v>144</v>
      </c>
      <c r="G29" s="291">
        <v>52</v>
      </c>
      <c r="H29" s="288">
        <f>G29/K29</f>
        <v>0.94545454545454544</v>
      </c>
      <c r="I29" s="292">
        <v>3</v>
      </c>
      <c r="J29" s="288">
        <f>I29/K29</f>
        <v>5.4545454545454543E-2</v>
      </c>
      <c r="K29" s="293">
        <f>G29+I29</f>
        <v>55</v>
      </c>
      <c r="L29" s="291">
        <v>89</v>
      </c>
      <c r="M29" s="288">
        <f>L29/P29</f>
        <v>1</v>
      </c>
      <c r="N29" s="292">
        <v>0</v>
      </c>
      <c r="O29" s="288">
        <f>N29/P29</f>
        <v>0</v>
      </c>
      <c r="P29" s="289">
        <f>L29+N29</f>
        <v>89</v>
      </c>
      <c r="Q29" s="510">
        <f t="shared" si="24"/>
        <v>53</v>
      </c>
      <c r="R29" s="288">
        <f>Q29/U29</f>
        <v>0.96363636363636362</v>
      </c>
      <c r="S29" s="292">
        <v>2</v>
      </c>
      <c r="T29" s="288">
        <f>S29/U29</f>
        <v>3.6363636363636362E-2</v>
      </c>
      <c r="U29" s="292">
        <f t="shared" si="14"/>
        <v>55</v>
      </c>
      <c r="V29" s="292">
        <v>0</v>
      </c>
      <c r="W29" s="288">
        <f>V29/Z29</f>
        <v>0</v>
      </c>
      <c r="X29" s="292">
        <v>1</v>
      </c>
      <c r="Y29" s="288">
        <f>X29/Z29</f>
        <v>1</v>
      </c>
      <c r="Z29" s="292">
        <f t="shared" si="17"/>
        <v>1</v>
      </c>
      <c r="AA29" s="292">
        <v>0</v>
      </c>
      <c r="AB29" s="288">
        <v>0</v>
      </c>
      <c r="AC29" s="292">
        <v>0</v>
      </c>
      <c r="AD29" s="288">
        <v>0</v>
      </c>
      <c r="AE29" s="292">
        <f t="shared" si="20"/>
        <v>0</v>
      </c>
      <c r="AF29" s="292"/>
      <c r="AG29" s="288">
        <v>0</v>
      </c>
      <c r="AH29" s="292">
        <v>0</v>
      </c>
      <c r="AI29" s="288">
        <v>0</v>
      </c>
      <c r="AJ29" s="504">
        <f t="shared" si="26"/>
        <v>0</v>
      </c>
      <c r="AK29" s="292">
        <v>0</v>
      </c>
      <c r="AL29" s="288">
        <v>0</v>
      </c>
      <c r="AM29" s="292">
        <v>0</v>
      </c>
      <c r="AN29" s="288">
        <v>0</v>
      </c>
      <c r="AO29" s="511">
        <f t="shared" si="23"/>
        <v>0</v>
      </c>
      <c r="AQ29" s="501"/>
      <c r="AR29" s="501"/>
    </row>
    <row r="30" spans="1:44" x14ac:dyDescent="0.25">
      <c r="A30" s="539" t="s">
        <v>427</v>
      </c>
      <c r="B30" s="287">
        <f>G30+L30</f>
        <v>68</v>
      </c>
      <c r="C30" s="288">
        <f>B30/F30</f>
        <v>0.93150684931506844</v>
      </c>
      <c r="D30" s="289">
        <f>I30+N30</f>
        <v>5</v>
      </c>
      <c r="E30" s="288">
        <f>D30/F30</f>
        <v>6.8493150684931503E-2</v>
      </c>
      <c r="F30" s="290">
        <f>B30+D30</f>
        <v>73</v>
      </c>
      <c r="G30" s="291">
        <v>41</v>
      </c>
      <c r="H30" s="288">
        <f>G30/K30</f>
        <v>0.89130434782608692</v>
      </c>
      <c r="I30" s="292">
        <v>5</v>
      </c>
      <c r="J30" s="288">
        <f>I30/K30</f>
        <v>0.10869565217391304</v>
      </c>
      <c r="K30" s="293">
        <f>G30+I30</f>
        <v>46</v>
      </c>
      <c r="L30" s="291">
        <v>27</v>
      </c>
      <c r="M30" s="288">
        <f>L30/P30</f>
        <v>1</v>
      </c>
      <c r="N30" s="292">
        <v>0</v>
      </c>
      <c r="O30" s="288">
        <f>N30/P30</f>
        <v>0</v>
      </c>
      <c r="P30" s="289">
        <f>L30+N30</f>
        <v>27</v>
      </c>
      <c r="Q30" s="510">
        <f t="shared" si="24"/>
        <v>41</v>
      </c>
      <c r="R30" s="288">
        <f>Q30/U30</f>
        <v>0.89130434782608692</v>
      </c>
      <c r="S30" s="292">
        <v>5</v>
      </c>
      <c r="T30" s="288">
        <f>S30/U30</f>
        <v>0.10869565217391304</v>
      </c>
      <c r="U30" s="292">
        <f t="shared" si="14"/>
        <v>46</v>
      </c>
      <c r="V30" s="292">
        <v>0</v>
      </c>
      <c r="W30" s="288">
        <v>0</v>
      </c>
      <c r="X30" s="292">
        <v>0</v>
      </c>
      <c r="Y30" s="288">
        <v>0</v>
      </c>
      <c r="Z30" s="292">
        <f t="shared" si="17"/>
        <v>0</v>
      </c>
      <c r="AA30" s="292">
        <v>0</v>
      </c>
      <c r="AB30" s="288">
        <v>0</v>
      </c>
      <c r="AC30" s="292">
        <v>0</v>
      </c>
      <c r="AD30" s="288">
        <v>0</v>
      </c>
      <c r="AE30" s="292">
        <f t="shared" si="20"/>
        <v>0</v>
      </c>
      <c r="AF30" s="292"/>
      <c r="AG30" s="288">
        <v>0</v>
      </c>
      <c r="AH30" s="292">
        <v>0</v>
      </c>
      <c r="AI30" s="288">
        <v>0</v>
      </c>
      <c r="AJ30" s="504">
        <f t="shared" si="26"/>
        <v>0</v>
      </c>
      <c r="AK30" s="292">
        <v>0</v>
      </c>
      <c r="AL30" s="288">
        <v>0</v>
      </c>
      <c r="AM30" s="292">
        <v>0</v>
      </c>
      <c r="AN30" s="288">
        <v>0</v>
      </c>
      <c r="AO30" s="511">
        <f t="shared" si="23"/>
        <v>0</v>
      </c>
      <c r="AQ30" s="501"/>
      <c r="AR30" s="501"/>
    </row>
    <row r="31" spans="1:44" x14ac:dyDescent="0.25">
      <c r="A31" s="539" t="s">
        <v>482</v>
      </c>
      <c r="B31" s="287">
        <f>G31+L31</f>
        <v>7</v>
      </c>
      <c r="C31" s="288">
        <f>B31/F31</f>
        <v>0.58333333333333337</v>
      </c>
      <c r="D31" s="289">
        <f>I31+N31</f>
        <v>5</v>
      </c>
      <c r="E31" s="288">
        <f>D31/F31</f>
        <v>0.41666666666666669</v>
      </c>
      <c r="F31" s="290">
        <f>B31+D31</f>
        <v>12</v>
      </c>
      <c r="G31" s="291">
        <v>6</v>
      </c>
      <c r="H31" s="288">
        <f>G31/K31</f>
        <v>0.54545454545454541</v>
      </c>
      <c r="I31" s="292">
        <v>5</v>
      </c>
      <c r="J31" s="288">
        <f>I31/K31</f>
        <v>0.45454545454545453</v>
      </c>
      <c r="K31" s="293">
        <f>G31+I31</f>
        <v>11</v>
      </c>
      <c r="L31" s="291">
        <v>1</v>
      </c>
      <c r="M31" s="288">
        <f>L31/P31</f>
        <v>1</v>
      </c>
      <c r="N31" s="292">
        <v>0</v>
      </c>
      <c r="O31" s="288">
        <f>N31/P31</f>
        <v>0</v>
      </c>
      <c r="P31" s="289">
        <f>L31+N31</f>
        <v>1</v>
      </c>
      <c r="Q31" s="510">
        <f t="shared" si="24"/>
        <v>7</v>
      </c>
      <c r="R31" s="288">
        <f>Q31/U31</f>
        <v>0.63636363636363635</v>
      </c>
      <c r="S31" s="292">
        <v>4</v>
      </c>
      <c r="T31" s="288">
        <f>S31/U31</f>
        <v>0.36363636363636365</v>
      </c>
      <c r="U31" s="292">
        <f t="shared" si="14"/>
        <v>11</v>
      </c>
      <c r="V31" s="292">
        <v>0</v>
      </c>
      <c r="W31" s="288">
        <f>V31/Z31</f>
        <v>0</v>
      </c>
      <c r="X31" s="292">
        <v>1</v>
      </c>
      <c r="Y31" s="288">
        <f>X31/Z31</f>
        <v>1</v>
      </c>
      <c r="Z31" s="292">
        <f t="shared" si="17"/>
        <v>1</v>
      </c>
      <c r="AA31" s="292">
        <v>0</v>
      </c>
      <c r="AB31" s="288">
        <v>0</v>
      </c>
      <c r="AC31" s="292">
        <v>0</v>
      </c>
      <c r="AD31" s="288">
        <v>0</v>
      </c>
      <c r="AE31" s="292">
        <f t="shared" si="20"/>
        <v>0</v>
      </c>
      <c r="AF31" s="292"/>
      <c r="AG31" s="288">
        <v>0</v>
      </c>
      <c r="AH31" s="292">
        <v>0</v>
      </c>
      <c r="AI31" s="288">
        <v>0</v>
      </c>
      <c r="AJ31" s="504">
        <f t="shared" si="26"/>
        <v>0</v>
      </c>
      <c r="AK31" s="292">
        <v>0</v>
      </c>
      <c r="AL31" s="288">
        <v>0</v>
      </c>
      <c r="AM31" s="292">
        <v>0</v>
      </c>
      <c r="AN31" s="288">
        <v>0</v>
      </c>
      <c r="AO31" s="511">
        <f t="shared" si="23"/>
        <v>0</v>
      </c>
      <c r="AQ31" s="501"/>
      <c r="AR31" s="501"/>
    </row>
    <row r="32" spans="1:44" x14ac:dyDescent="0.25">
      <c r="A32" s="539" t="s">
        <v>439</v>
      </c>
      <c r="B32" s="287">
        <f>G32+L32</f>
        <v>24</v>
      </c>
      <c r="C32" s="288">
        <f>B32/F32</f>
        <v>0.70588235294117652</v>
      </c>
      <c r="D32" s="289">
        <f>I32+N32</f>
        <v>10</v>
      </c>
      <c r="E32" s="288">
        <f>D32/F32</f>
        <v>0.29411764705882354</v>
      </c>
      <c r="F32" s="290">
        <f>B32+D32</f>
        <v>34</v>
      </c>
      <c r="G32" s="291">
        <v>24</v>
      </c>
      <c r="H32" s="288">
        <f>G32/K32</f>
        <v>0.70588235294117652</v>
      </c>
      <c r="I32" s="292">
        <v>10</v>
      </c>
      <c r="J32" s="288">
        <f>I32/K32</f>
        <v>0.29411764705882354</v>
      </c>
      <c r="K32" s="293">
        <f>G32+I32</f>
        <v>34</v>
      </c>
      <c r="L32" s="291">
        <v>0</v>
      </c>
      <c r="M32" s="288">
        <v>0</v>
      </c>
      <c r="N32" s="292">
        <v>0</v>
      </c>
      <c r="O32" s="288">
        <v>0</v>
      </c>
      <c r="P32" s="289">
        <f>L32+N32</f>
        <v>0</v>
      </c>
      <c r="Q32" s="510">
        <f t="shared" si="24"/>
        <v>24</v>
      </c>
      <c r="R32" s="288">
        <v>0</v>
      </c>
      <c r="S32" s="292">
        <v>10</v>
      </c>
      <c r="T32" s="288">
        <v>0</v>
      </c>
      <c r="U32" s="292">
        <f t="shared" si="14"/>
        <v>34</v>
      </c>
      <c r="V32" s="292">
        <v>0</v>
      </c>
      <c r="W32" s="288">
        <v>0</v>
      </c>
      <c r="X32" s="292">
        <v>0</v>
      </c>
      <c r="Y32" s="288">
        <v>0</v>
      </c>
      <c r="Z32" s="292">
        <f t="shared" si="17"/>
        <v>0</v>
      </c>
      <c r="AA32" s="292">
        <v>0</v>
      </c>
      <c r="AB32" s="288">
        <v>0</v>
      </c>
      <c r="AC32" s="292">
        <v>0</v>
      </c>
      <c r="AD32" s="288">
        <v>0</v>
      </c>
      <c r="AE32" s="292">
        <f t="shared" si="20"/>
        <v>0</v>
      </c>
      <c r="AF32" s="292"/>
      <c r="AG32" s="288">
        <v>0</v>
      </c>
      <c r="AH32" s="292">
        <v>0</v>
      </c>
      <c r="AI32" s="288">
        <v>0</v>
      </c>
      <c r="AJ32" s="504">
        <f t="shared" si="26"/>
        <v>0</v>
      </c>
      <c r="AK32" s="292">
        <v>0</v>
      </c>
      <c r="AL32" s="288">
        <v>0</v>
      </c>
      <c r="AM32" s="292">
        <v>0</v>
      </c>
      <c r="AN32" s="288">
        <v>0</v>
      </c>
      <c r="AO32" s="511">
        <f t="shared" si="23"/>
        <v>0</v>
      </c>
      <c r="AQ32" s="501"/>
      <c r="AR32" s="501"/>
    </row>
    <row r="33" spans="1:44" x14ac:dyDescent="0.25">
      <c r="A33" s="538" t="s">
        <v>440</v>
      </c>
      <c r="B33" s="280">
        <f t="shared" si="0"/>
        <v>4489</v>
      </c>
      <c r="C33" s="281">
        <f t="shared" si="1"/>
        <v>0.91332655137334695</v>
      </c>
      <c r="D33" s="282">
        <f t="shared" si="2"/>
        <v>426</v>
      </c>
      <c r="E33" s="281">
        <f t="shared" si="3"/>
        <v>8.6673448626653105E-2</v>
      </c>
      <c r="F33" s="283">
        <f t="shared" si="4"/>
        <v>4915</v>
      </c>
      <c r="G33" s="284">
        <f>G34</f>
        <v>1822</v>
      </c>
      <c r="H33" s="281">
        <f t="shared" si="5"/>
        <v>0.87512007684918347</v>
      </c>
      <c r="I33" s="285">
        <f>I34</f>
        <v>260</v>
      </c>
      <c r="J33" s="281">
        <f t="shared" si="6"/>
        <v>0.12487992315081652</v>
      </c>
      <c r="K33" s="286">
        <f t="shared" si="7"/>
        <v>2082</v>
      </c>
      <c r="L33" s="284">
        <f>L34</f>
        <v>2667</v>
      </c>
      <c r="M33" s="281">
        <f t="shared" si="8"/>
        <v>0.94140487116131311</v>
      </c>
      <c r="N33" s="285">
        <f>N34</f>
        <v>166</v>
      </c>
      <c r="O33" s="281">
        <f t="shared" si="9"/>
        <v>5.8595128838686901E-2</v>
      </c>
      <c r="P33" s="282">
        <f t="shared" si="10"/>
        <v>2833</v>
      </c>
      <c r="Q33" s="512">
        <f t="shared" si="24"/>
        <v>1839</v>
      </c>
      <c r="R33" s="281">
        <f t="shared" si="11"/>
        <v>0.88328530259365989</v>
      </c>
      <c r="S33" s="285">
        <f t="shared" ref="S33:AC33" si="30">S34</f>
        <v>243</v>
      </c>
      <c r="T33" s="281">
        <f t="shared" si="13"/>
        <v>0.11671469740634005</v>
      </c>
      <c r="U33" s="285">
        <f t="shared" si="14"/>
        <v>2082</v>
      </c>
      <c r="V33" s="285">
        <f t="shared" si="30"/>
        <v>0</v>
      </c>
      <c r="W33" s="281">
        <v>0</v>
      </c>
      <c r="X33" s="285">
        <f t="shared" si="30"/>
        <v>0</v>
      </c>
      <c r="Y33" s="281">
        <v>0</v>
      </c>
      <c r="Z33" s="285">
        <f t="shared" si="17"/>
        <v>0</v>
      </c>
      <c r="AA33" s="285">
        <f t="shared" si="30"/>
        <v>31</v>
      </c>
      <c r="AB33" s="281">
        <f t="shared" si="18"/>
        <v>0.64583333333333337</v>
      </c>
      <c r="AC33" s="285">
        <f t="shared" si="30"/>
        <v>17</v>
      </c>
      <c r="AD33" s="281">
        <f t="shared" si="19"/>
        <v>0.35416666666666669</v>
      </c>
      <c r="AE33" s="285">
        <f t="shared" si="20"/>
        <v>48</v>
      </c>
      <c r="AF33" s="285"/>
      <c r="AG33" s="281">
        <v>0</v>
      </c>
      <c r="AH33" s="285">
        <f>AH34</f>
        <v>0</v>
      </c>
      <c r="AI33" s="281">
        <v>0</v>
      </c>
      <c r="AJ33" s="505">
        <f t="shared" si="26"/>
        <v>0</v>
      </c>
      <c r="AK33" s="285">
        <f>AK34</f>
        <v>0</v>
      </c>
      <c r="AL33" s="281">
        <v>0</v>
      </c>
      <c r="AM33" s="285">
        <f>AM34</f>
        <v>0</v>
      </c>
      <c r="AN33" s="281">
        <v>0</v>
      </c>
      <c r="AO33" s="509">
        <f t="shared" si="23"/>
        <v>0</v>
      </c>
      <c r="AQ33" s="501"/>
      <c r="AR33" s="501"/>
    </row>
    <row r="34" spans="1:44" x14ac:dyDescent="0.25">
      <c r="A34" s="539" t="s">
        <v>441</v>
      </c>
      <c r="B34" s="287">
        <f t="shared" si="0"/>
        <v>4489</v>
      </c>
      <c r="C34" s="288">
        <f t="shared" si="1"/>
        <v>0.91332655137334695</v>
      </c>
      <c r="D34" s="289">
        <f t="shared" si="2"/>
        <v>426</v>
      </c>
      <c r="E34" s="288">
        <f t="shared" si="3"/>
        <v>8.6673448626653105E-2</v>
      </c>
      <c r="F34" s="290">
        <f t="shared" si="4"/>
        <v>4915</v>
      </c>
      <c r="G34" s="291">
        <v>1822</v>
      </c>
      <c r="H34" s="288">
        <f t="shared" si="5"/>
        <v>0.87512007684918347</v>
      </c>
      <c r="I34" s="292">
        <v>260</v>
      </c>
      <c r="J34" s="288">
        <f t="shared" si="6"/>
        <v>0.12487992315081652</v>
      </c>
      <c r="K34" s="293">
        <f t="shared" si="7"/>
        <v>2082</v>
      </c>
      <c r="L34" s="291">
        <v>2667</v>
      </c>
      <c r="M34" s="288">
        <f t="shared" si="8"/>
        <v>0.94140487116131311</v>
      </c>
      <c r="N34" s="292">
        <v>166</v>
      </c>
      <c r="O34" s="288">
        <f t="shared" si="9"/>
        <v>5.8595128838686901E-2</v>
      </c>
      <c r="P34" s="289">
        <f t="shared" si="10"/>
        <v>2833</v>
      </c>
      <c r="Q34" s="510">
        <f t="shared" si="24"/>
        <v>1839</v>
      </c>
      <c r="R34" s="288">
        <f t="shared" si="11"/>
        <v>0.88328530259365989</v>
      </c>
      <c r="S34" s="292">
        <v>243</v>
      </c>
      <c r="T34" s="288">
        <f t="shared" si="13"/>
        <v>0.11671469740634005</v>
      </c>
      <c r="U34" s="292">
        <f t="shared" si="14"/>
        <v>2082</v>
      </c>
      <c r="V34" s="292">
        <v>0</v>
      </c>
      <c r="W34" s="288">
        <v>0</v>
      </c>
      <c r="X34" s="292">
        <v>0</v>
      </c>
      <c r="Y34" s="288">
        <v>0</v>
      </c>
      <c r="Z34" s="292">
        <f t="shared" si="17"/>
        <v>0</v>
      </c>
      <c r="AA34" s="292">
        <v>31</v>
      </c>
      <c r="AB34" s="288">
        <f t="shared" si="18"/>
        <v>0.64583333333333337</v>
      </c>
      <c r="AC34" s="292">
        <v>17</v>
      </c>
      <c r="AD34" s="288">
        <f t="shared" si="19"/>
        <v>0.35416666666666669</v>
      </c>
      <c r="AE34" s="292">
        <f t="shared" si="20"/>
        <v>48</v>
      </c>
      <c r="AF34" s="292"/>
      <c r="AG34" s="288">
        <v>0</v>
      </c>
      <c r="AH34" s="292">
        <v>0</v>
      </c>
      <c r="AI34" s="288">
        <v>0</v>
      </c>
      <c r="AJ34" s="504">
        <f t="shared" si="26"/>
        <v>0</v>
      </c>
      <c r="AK34" s="292">
        <v>0</v>
      </c>
      <c r="AL34" s="288">
        <v>0</v>
      </c>
      <c r="AM34" s="292">
        <v>0</v>
      </c>
      <c r="AN34" s="288">
        <v>0</v>
      </c>
      <c r="AO34" s="511">
        <f t="shared" si="23"/>
        <v>0</v>
      </c>
      <c r="AQ34" s="501"/>
      <c r="AR34" s="501"/>
    </row>
    <row r="35" spans="1:44" s="263" customFormat="1" x14ac:dyDescent="0.25">
      <c r="A35" s="538" t="s">
        <v>442</v>
      </c>
      <c r="B35" s="592">
        <f>G35+L35</f>
        <v>2702</v>
      </c>
      <c r="C35" s="593">
        <f t="shared" si="1"/>
        <v>0.92502567613830877</v>
      </c>
      <c r="D35" s="594">
        <f t="shared" si="2"/>
        <v>219</v>
      </c>
      <c r="E35" s="593">
        <f t="shared" si="3"/>
        <v>7.49743238616912E-2</v>
      </c>
      <c r="F35" s="595">
        <f t="shared" si="4"/>
        <v>2921</v>
      </c>
      <c r="G35" s="284">
        <f>SUM(G36:G39)</f>
        <v>1154</v>
      </c>
      <c r="H35" s="593">
        <f t="shared" si="5"/>
        <v>0.90937746256895191</v>
      </c>
      <c r="I35" s="285">
        <f>SUM(I36:I39)</f>
        <v>115</v>
      </c>
      <c r="J35" s="593">
        <f t="shared" si="6"/>
        <v>9.0622537431048075E-2</v>
      </c>
      <c r="K35" s="596">
        <f t="shared" si="7"/>
        <v>1269</v>
      </c>
      <c r="L35" s="284">
        <f>SUM(L36:L39)</f>
        <v>1548</v>
      </c>
      <c r="M35" s="593">
        <f t="shared" si="8"/>
        <v>0.93704600484261502</v>
      </c>
      <c r="N35" s="284">
        <f>SUM(N36:N39)</f>
        <v>104</v>
      </c>
      <c r="O35" s="593">
        <f t="shared" si="9"/>
        <v>6.2953995157384993E-2</v>
      </c>
      <c r="P35" s="594">
        <f t="shared" si="10"/>
        <v>1652</v>
      </c>
      <c r="Q35" s="284">
        <f>SUM(Q36:Q39)</f>
        <v>1154</v>
      </c>
      <c r="R35" s="593">
        <f t="shared" si="11"/>
        <v>0.90937746256895191</v>
      </c>
      <c r="S35" s="285">
        <f>SUM(S36:S39)</f>
        <v>115</v>
      </c>
      <c r="T35" s="593">
        <f t="shared" si="13"/>
        <v>9.0622537431048075E-2</v>
      </c>
      <c r="U35" s="285">
        <f>Q35+S35</f>
        <v>1269</v>
      </c>
      <c r="V35" s="285">
        <f t="shared" ref="V35:AC35" si="31">SUM(V38:V39)</f>
        <v>0</v>
      </c>
      <c r="W35" s="593">
        <v>0</v>
      </c>
      <c r="X35" s="285">
        <f t="shared" si="31"/>
        <v>0</v>
      </c>
      <c r="Y35" s="593">
        <v>0</v>
      </c>
      <c r="Z35" s="285">
        <f t="shared" si="17"/>
        <v>0</v>
      </c>
      <c r="AA35" s="285">
        <f t="shared" si="31"/>
        <v>0</v>
      </c>
      <c r="AB35" s="593">
        <v>0</v>
      </c>
      <c r="AC35" s="285">
        <f t="shared" si="31"/>
        <v>0</v>
      </c>
      <c r="AD35" s="593">
        <v>0</v>
      </c>
      <c r="AE35" s="285">
        <f t="shared" si="20"/>
        <v>0</v>
      </c>
      <c r="AF35" s="285"/>
      <c r="AG35" s="593">
        <v>0</v>
      </c>
      <c r="AH35" s="285">
        <f>SUM(AH38:AH39)</f>
        <v>0</v>
      </c>
      <c r="AI35" s="593">
        <v>0</v>
      </c>
      <c r="AJ35" s="598">
        <f t="shared" si="26"/>
        <v>0</v>
      </c>
      <c r="AK35" s="285">
        <f>SUM(AK38:AK39)</f>
        <v>0</v>
      </c>
      <c r="AL35" s="593">
        <v>0</v>
      </c>
      <c r="AM35" s="285">
        <f>SUM(AM38:AM39)</f>
        <v>0</v>
      </c>
      <c r="AN35" s="593">
        <v>0</v>
      </c>
      <c r="AO35" s="509">
        <f t="shared" si="23"/>
        <v>0</v>
      </c>
      <c r="AQ35" s="501"/>
      <c r="AR35" s="501"/>
    </row>
    <row r="36" spans="1:44" x14ac:dyDescent="0.25">
      <c r="A36" s="539" t="s">
        <v>443</v>
      </c>
      <c r="B36" s="287">
        <f>G36+L36</f>
        <v>1652</v>
      </c>
      <c r="C36" s="288">
        <f>B36/F36</f>
        <v>0.93227990970654628</v>
      </c>
      <c r="D36" s="289">
        <f>I36+N36</f>
        <v>120</v>
      </c>
      <c r="E36" s="288">
        <f>D36/F36</f>
        <v>6.772009029345373E-2</v>
      </c>
      <c r="F36" s="290">
        <f>B36+D36</f>
        <v>1772</v>
      </c>
      <c r="G36" s="291">
        <v>705</v>
      </c>
      <c r="H36" s="288">
        <f>G36/K36</f>
        <v>0.92156862745098034</v>
      </c>
      <c r="I36" s="292">
        <v>60</v>
      </c>
      <c r="J36" s="288">
        <f>I36/K36</f>
        <v>7.8431372549019607E-2</v>
      </c>
      <c r="K36" s="293">
        <f>G36+I36</f>
        <v>765</v>
      </c>
      <c r="L36" s="291">
        <v>947</v>
      </c>
      <c r="M36" s="288">
        <f>L36/P36</f>
        <v>0.94041708043694139</v>
      </c>
      <c r="N36" s="292">
        <v>60</v>
      </c>
      <c r="O36" s="288">
        <f>N36/P36</f>
        <v>5.9582919563058591E-2</v>
      </c>
      <c r="P36" s="289">
        <f>L36+N36</f>
        <v>1007</v>
      </c>
      <c r="Q36" s="510">
        <f t="shared" si="24"/>
        <v>705</v>
      </c>
      <c r="R36" s="288">
        <f>Q36/U36</f>
        <v>0.92156862745098034</v>
      </c>
      <c r="S36" s="292">
        <v>60</v>
      </c>
      <c r="T36" s="288">
        <f>S36/U36</f>
        <v>7.8431372549019607E-2</v>
      </c>
      <c r="U36" s="292">
        <f t="shared" si="14"/>
        <v>765</v>
      </c>
      <c r="V36" s="292">
        <v>0</v>
      </c>
      <c r="W36" s="288">
        <v>0</v>
      </c>
      <c r="X36" s="292">
        <v>0</v>
      </c>
      <c r="Y36" s="288">
        <v>0</v>
      </c>
      <c r="Z36" s="292">
        <f t="shared" si="17"/>
        <v>0</v>
      </c>
      <c r="AA36" s="292">
        <v>0</v>
      </c>
      <c r="AB36" s="288">
        <v>0</v>
      </c>
      <c r="AC36" s="292">
        <v>0</v>
      </c>
      <c r="AD36" s="288">
        <v>0</v>
      </c>
      <c r="AE36" s="292">
        <f t="shared" si="20"/>
        <v>0</v>
      </c>
      <c r="AF36" s="292"/>
      <c r="AG36" s="288">
        <v>0</v>
      </c>
      <c r="AH36" s="292">
        <v>0</v>
      </c>
      <c r="AI36" s="288">
        <v>0</v>
      </c>
      <c r="AJ36" s="504">
        <f t="shared" si="26"/>
        <v>0</v>
      </c>
      <c r="AK36" s="292">
        <v>0</v>
      </c>
      <c r="AL36" s="288">
        <v>0</v>
      </c>
      <c r="AM36" s="292">
        <v>0</v>
      </c>
      <c r="AN36" s="288">
        <v>0</v>
      </c>
      <c r="AO36" s="511">
        <f t="shared" si="23"/>
        <v>0</v>
      </c>
      <c r="AQ36" s="501"/>
      <c r="AR36" s="501"/>
    </row>
    <row r="37" spans="1:44" x14ac:dyDescent="0.25">
      <c r="A37" s="539" t="s">
        <v>444</v>
      </c>
      <c r="B37" s="287">
        <f>G37+L37</f>
        <v>988</v>
      </c>
      <c r="C37" s="288">
        <f>B37/F37</f>
        <v>0.93649289099526067</v>
      </c>
      <c r="D37" s="289">
        <f>I37+N37</f>
        <v>67</v>
      </c>
      <c r="E37" s="288">
        <f>D37/F37</f>
        <v>6.350710900473934E-2</v>
      </c>
      <c r="F37" s="290">
        <f>B37+D37</f>
        <v>1055</v>
      </c>
      <c r="G37" s="291">
        <v>409</v>
      </c>
      <c r="H37" s="288">
        <f>G37/K37</f>
        <v>0.93378995433789957</v>
      </c>
      <c r="I37" s="292">
        <v>29</v>
      </c>
      <c r="J37" s="288">
        <f>I37/K37</f>
        <v>6.6210045662100453E-2</v>
      </c>
      <c r="K37" s="293">
        <f>G37+I37</f>
        <v>438</v>
      </c>
      <c r="L37" s="291">
        <v>579</v>
      </c>
      <c r="M37" s="288">
        <f>L37/P37</f>
        <v>0.93841166936790921</v>
      </c>
      <c r="N37" s="292">
        <v>38</v>
      </c>
      <c r="O37" s="288">
        <f>N37/P37</f>
        <v>6.1588330632090758E-2</v>
      </c>
      <c r="P37" s="289">
        <f>L37+N37</f>
        <v>617</v>
      </c>
      <c r="Q37" s="510">
        <f t="shared" si="24"/>
        <v>409</v>
      </c>
      <c r="R37" s="288">
        <f>Q37/U37</f>
        <v>0.93378995433789957</v>
      </c>
      <c r="S37" s="292">
        <v>29</v>
      </c>
      <c r="T37" s="288">
        <f>S37/U37</f>
        <v>6.6210045662100453E-2</v>
      </c>
      <c r="U37" s="292">
        <f t="shared" si="14"/>
        <v>438</v>
      </c>
      <c r="V37" s="292">
        <v>0</v>
      </c>
      <c r="W37" s="288">
        <v>0</v>
      </c>
      <c r="X37" s="292">
        <v>0</v>
      </c>
      <c r="Y37" s="288">
        <v>0</v>
      </c>
      <c r="Z37" s="292">
        <f t="shared" si="17"/>
        <v>0</v>
      </c>
      <c r="AA37" s="292">
        <v>0</v>
      </c>
      <c r="AB37" s="288">
        <v>0</v>
      </c>
      <c r="AC37" s="292">
        <v>0</v>
      </c>
      <c r="AD37" s="288">
        <v>0</v>
      </c>
      <c r="AE37" s="292">
        <f t="shared" si="20"/>
        <v>0</v>
      </c>
      <c r="AF37" s="292"/>
      <c r="AG37" s="288">
        <v>0</v>
      </c>
      <c r="AH37" s="292">
        <v>0</v>
      </c>
      <c r="AI37" s="288">
        <v>0</v>
      </c>
      <c r="AJ37" s="504">
        <f t="shared" si="26"/>
        <v>0</v>
      </c>
      <c r="AK37" s="292">
        <v>0</v>
      </c>
      <c r="AL37" s="288">
        <v>0</v>
      </c>
      <c r="AM37" s="292">
        <v>0</v>
      </c>
      <c r="AN37" s="288">
        <v>0</v>
      </c>
      <c r="AO37" s="511">
        <f t="shared" si="23"/>
        <v>0</v>
      </c>
      <c r="AQ37" s="501"/>
      <c r="AR37" s="501"/>
    </row>
    <row r="38" spans="1:44" x14ac:dyDescent="0.25">
      <c r="A38" s="539" t="s">
        <v>422</v>
      </c>
      <c r="B38" s="287">
        <f t="shared" si="0"/>
        <v>22</v>
      </c>
      <c r="C38" s="288">
        <f t="shared" si="1"/>
        <v>0.84615384615384615</v>
      </c>
      <c r="D38" s="289">
        <f t="shared" si="2"/>
        <v>4</v>
      </c>
      <c r="E38" s="288">
        <f t="shared" si="3"/>
        <v>0.15384615384615385</v>
      </c>
      <c r="F38" s="290">
        <f t="shared" si="4"/>
        <v>26</v>
      </c>
      <c r="G38" s="291">
        <v>3</v>
      </c>
      <c r="H38" s="288">
        <f t="shared" si="5"/>
        <v>1</v>
      </c>
      <c r="I38" s="292">
        <v>0</v>
      </c>
      <c r="J38" s="288">
        <f t="shared" si="6"/>
        <v>0</v>
      </c>
      <c r="K38" s="293">
        <f t="shared" si="7"/>
        <v>3</v>
      </c>
      <c r="L38" s="291">
        <v>19</v>
      </c>
      <c r="M38" s="288">
        <f t="shared" si="8"/>
        <v>0.82608695652173914</v>
      </c>
      <c r="N38" s="292">
        <v>4</v>
      </c>
      <c r="O38" s="288">
        <f t="shared" si="9"/>
        <v>0.17391304347826086</v>
      </c>
      <c r="P38" s="289">
        <f t="shared" si="10"/>
        <v>23</v>
      </c>
      <c r="Q38" s="510">
        <f t="shared" si="24"/>
        <v>3</v>
      </c>
      <c r="R38" s="288">
        <f t="shared" si="11"/>
        <v>1</v>
      </c>
      <c r="S38" s="292">
        <v>0</v>
      </c>
      <c r="T38" s="288">
        <f t="shared" si="13"/>
        <v>0</v>
      </c>
      <c r="U38" s="292">
        <f t="shared" si="14"/>
        <v>3</v>
      </c>
      <c r="V38" s="292">
        <v>0</v>
      </c>
      <c r="W38" s="288">
        <v>0</v>
      </c>
      <c r="X38" s="292">
        <v>0</v>
      </c>
      <c r="Y38" s="288">
        <v>0</v>
      </c>
      <c r="Z38" s="292">
        <f t="shared" si="17"/>
        <v>0</v>
      </c>
      <c r="AA38" s="292">
        <v>0</v>
      </c>
      <c r="AB38" s="288">
        <v>0</v>
      </c>
      <c r="AC38" s="292">
        <v>0</v>
      </c>
      <c r="AD38" s="288">
        <v>0</v>
      </c>
      <c r="AE38" s="292">
        <f t="shared" si="20"/>
        <v>0</v>
      </c>
      <c r="AF38" s="292"/>
      <c r="AG38" s="288">
        <v>0</v>
      </c>
      <c r="AH38" s="292">
        <v>0</v>
      </c>
      <c r="AI38" s="288">
        <v>0</v>
      </c>
      <c r="AJ38" s="504">
        <f t="shared" si="26"/>
        <v>0</v>
      </c>
      <c r="AK38" s="292">
        <v>0</v>
      </c>
      <c r="AL38" s="288">
        <v>0</v>
      </c>
      <c r="AM38" s="292">
        <v>0</v>
      </c>
      <c r="AN38" s="288">
        <v>0</v>
      </c>
      <c r="AO38" s="511">
        <f t="shared" si="23"/>
        <v>0</v>
      </c>
      <c r="AQ38" s="501"/>
      <c r="AR38" s="501"/>
    </row>
    <row r="39" spans="1:44" x14ac:dyDescent="0.25">
      <c r="A39" s="539" t="s">
        <v>445</v>
      </c>
      <c r="B39" s="287">
        <f t="shared" si="0"/>
        <v>40</v>
      </c>
      <c r="C39" s="288">
        <f t="shared" si="1"/>
        <v>0.58823529411764708</v>
      </c>
      <c r="D39" s="289">
        <f t="shared" si="2"/>
        <v>28</v>
      </c>
      <c r="E39" s="288">
        <f t="shared" si="3"/>
        <v>0.41176470588235292</v>
      </c>
      <c r="F39" s="290">
        <f t="shared" si="4"/>
        <v>68</v>
      </c>
      <c r="G39" s="291">
        <v>37</v>
      </c>
      <c r="H39" s="288">
        <f t="shared" si="5"/>
        <v>0.58730158730158732</v>
      </c>
      <c r="I39" s="292">
        <v>26</v>
      </c>
      <c r="J39" s="288">
        <f t="shared" si="6"/>
        <v>0.41269841269841268</v>
      </c>
      <c r="K39" s="293">
        <f t="shared" si="7"/>
        <v>63</v>
      </c>
      <c r="L39" s="291">
        <v>3</v>
      </c>
      <c r="M39" s="288">
        <f t="shared" si="8"/>
        <v>0.6</v>
      </c>
      <c r="N39" s="292">
        <v>2</v>
      </c>
      <c r="O39" s="288">
        <f t="shared" si="9"/>
        <v>0.4</v>
      </c>
      <c r="P39" s="289">
        <f t="shared" si="10"/>
        <v>5</v>
      </c>
      <c r="Q39" s="510">
        <f t="shared" si="24"/>
        <v>37</v>
      </c>
      <c r="R39" s="288">
        <f t="shared" si="11"/>
        <v>0.58730158730158732</v>
      </c>
      <c r="S39" s="292">
        <v>26</v>
      </c>
      <c r="T39" s="288">
        <f t="shared" si="13"/>
        <v>0.41269841269841268</v>
      </c>
      <c r="U39" s="292">
        <f t="shared" si="14"/>
        <v>63</v>
      </c>
      <c r="V39" s="292">
        <v>0</v>
      </c>
      <c r="W39" s="288">
        <v>0</v>
      </c>
      <c r="X39" s="292">
        <v>0</v>
      </c>
      <c r="Y39" s="288">
        <v>0</v>
      </c>
      <c r="Z39" s="292">
        <f t="shared" si="17"/>
        <v>0</v>
      </c>
      <c r="AA39" s="292">
        <v>0</v>
      </c>
      <c r="AB39" s="288">
        <v>0</v>
      </c>
      <c r="AC39" s="292">
        <v>0</v>
      </c>
      <c r="AD39" s="288">
        <v>0</v>
      </c>
      <c r="AE39" s="292">
        <f t="shared" si="20"/>
        <v>0</v>
      </c>
      <c r="AF39" s="292"/>
      <c r="AG39" s="288">
        <v>0</v>
      </c>
      <c r="AH39" s="292">
        <v>0</v>
      </c>
      <c r="AI39" s="288">
        <v>0</v>
      </c>
      <c r="AJ39" s="504">
        <f t="shared" si="26"/>
        <v>0</v>
      </c>
      <c r="AK39" s="292">
        <v>0</v>
      </c>
      <c r="AL39" s="288">
        <v>0</v>
      </c>
      <c r="AM39" s="292">
        <v>0</v>
      </c>
      <c r="AN39" s="288">
        <v>0</v>
      </c>
      <c r="AO39" s="511">
        <f t="shared" si="23"/>
        <v>0</v>
      </c>
      <c r="AQ39" s="501"/>
      <c r="AR39" s="501"/>
    </row>
    <row r="40" spans="1:44" s="263" customFormat="1" x14ac:dyDescent="0.25">
      <c r="A40" s="538" t="s">
        <v>446</v>
      </c>
      <c r="B40" s="592">
        <f t="shared" si="0"/>
        <v>737</v>
      </c>
      <c r="C40" s="593">
        <f t="shared" si="1"/>
        <v>1</v>
      </c>
      <c r="D40" s="594">
        <f t="shared" si="2"/>
        <v>0</v>
      </c>
      <c r="E40" s="593">
        <f t="shared" si="3"/>
        <v>0</v>
      </c>
      <c r="F40" s="595">
        <f t="shared" si="4"/>
        <v>737</v>
      </c>
      <c r="G40" s="284">
        <f>G41</f>
        <v>230</v>
      </c>
      <c r="H40" s="593">
        <f t="shared" si="5"/>
        <v>1</v>
      </c>
      <c r="I40" s="285">
        <f>I41</f>
        <v>0</v>
      </c>
      <c r="J40" s="593">
        <f t="shared" si="6"/>
        <v>0</v>
      </c>
      <c r="K40" s="596">
        <f t="shared" si="7"/>
        <v>230</v>
      </c>
      <c r="L40" s="284">
        <f>L41</f>
        <v>507</v>
      </c>
      <c r="M40" s="593">
        <f t="shared" si="8"/>
        <v>1</v>
      </c>
      <c r="N40" s="285">
        <f>N41</f>
        <v>0</v>
      </c>
      <c r="O40" s="593">
        <f t="shared" si="9"/>
        <v>0</v>
      </c>
      <c r="P40" s="594">
        <f t="shared" si="10"/>
        <v>507</v>
      </c>
      <c r="Q40" s="597">
        <f t="shared" si="24"/>
        <v>230</v>
      </c>
      <c r="R40" s="593">
        <f t="shared" si="11"/>
        <v>1</v>
      </c>
      <c r="S40" s="285">
        <f>S41</f>
        <v>0</v>
      </c>
      <c r="T40" s="593">
        <f t="shared" si="13"/>
        <v>0</v>
      </c>
      <c r="U40" s="285">
        <f t="shared" si="14"/>
        <v>230</v>
      </c>
      <c r="V40" s="285">
        <f>V41</f>
        <v>0</v>
      </c>
      <c r="W40" s="593">
        <v>0</v>
      </c>
      <c r="X40" s="285">
        <f>X41</f>
        <v>0</v>
      </c>
      <c r="Y40" s="593">
        <v>0</v>
      </c>
      <c r="Z40" s="285">
        <f t="shared" si="17"/>
        <v>0</v>
      </c>
      <c r="AA40" s="285">
        <f>AA41</f>
        <v>106</v>
      </c>
      <c r="AB40" s="593">
        <f t="shared" si="18"/>
        <v>1</v>
      </c>
      <c r="AC40" s="285">
        <f>AC41</f>
        <v>0</v>
      </c>
      <c r="AD40" s="593">
        <f t="shared" si="19"/>
        <v>0</v>
      </c>
      <c r="AE40" s="285">
        <f t="shared" si="20"/>
        <v>106</v>
      </c>
      <c r="AF40" s="285"/>
      <c r="AG40" s="593">
        <v>0</v>
      </c>
      <c r="AH40" s="285">
        <f>AH41</f>
        <v>0</v>
      </c>
      <c r="AI40" s="593">
        <v>0</v>
      </c>
      <c r="AJ40" s="598">
        <f t="shared" si="26"/>
        <v>0</v>
      </c>
      <c r="AK40" s="285">
        <f>AK41</f>
        <v>0</v>
      </c>
      <c r="AL40" s="593">
        <v>0</v>
      </c>
      <c r="AM40" s="285">
        <f>AM41</f>
        <v>0</v>
      </c>
      <c r="AN40" s="593">
        <v>0</v>
      </c>
      <c r="AO40" s="509">
        <f t="shared" si="23"/>
        <v>0</v>
      </c>
      <c r="AQ40" s="501"/>
      <c r="AR40" s="501"/>
    </row>
    <row r="41" spans="1:44" x14ac:dyDescent="0.25">
      <c r="A41" s="539" t="s">
        <v>447</v>
      </c>
      <c r="B41" s="287">
        <f t="shared" si="0"/>
        <v>737</v>
      </c>
      <c r="C41" s="288">
        <f t="shared" si="1"/>
        <v>1</v>
      </c>
      <c r="D41" s="289">
        <f t="shared" si="2"/>
        <v>0</v>
      </c>
      <c r="E41" s="288">
        <f t="shared" si="3"/>
        <v>0</v>
      </c>
      <c r="F41" s="290">
        <f t="shared" si="4"/>
        <v>737</v>
      </c>
      <c r="G41" s="291">
        <v>230</v>
      </c>
      <c r="H41" s="288">
        <f t="shared" si="5"/>
        <v>1</v>
      </c>
      <c r="I41" s="292">
        <v>0</v>
      </c>
      <c r="J41" s="288">
        <f t="shared" si="6"/>
        <v>0</v>
      </c>
      <c r="K41" s="293">
        <f t="shared" si="7"/>
        <v>230</v>
      </c>
      <c r="L41" s="291">
        <v>507</v>
      </c>
      <c r="M41" s="288">
        <f t="shared" si="8"/>
        <v>1</v>
      </c>
      <c r="N41" s="292">
        <v>0</v>
      </c>
      <c r="O41" s="288">
        <f t="shared" si="9"/>
        <v>0</v>
      </c>
      <c r="P41" s="289">
        <f t="shared" si="10"/>
        <v>507</v>
      </c>
      <c r="Q41" s="510">
        <f t="shared" si="24"/>
        <v>230</v>
      </c>
      <c r="R41" s="288">
        <f t="shared" si="11"/>
        <v>1</v>
      </c>
      <c r="S41" s="292">
        <v>0</v>
      </c>
      <c r="T41" s="288">
        <f t="shared" si="13"/>
        <v>0</v>
      </c>
      <c r="U41" s="292">
        <f t="shared" si="14"/>
        <v>230</v>
      </c>
      <c r="V41" s="292">
        <v>0</v>
      </c>
      <c r="W41" s="288">
        <v>0</v>
      </c>
      <c r="X41" s="292">
        <v>0</v>
      </c>
      <c r="Y41" s="288">
        <v>0</v>
      </c>
      <c r="Z41" s="292">
        <f t="shared" si="17"/>
        <v>0</v>
      </c>
      <c r="AA41" s="292">
        <v>106</v>
      </c>
      <c r="AB41" s="288">
        <f t="shared" si="18"/>
        <v>1</v>
      </c>
      <c r="AC41" s="292">
        <v>0</v>
      </c>
      <c r="AD41" s="288">
        <f t="shared" si="19"/>
        <v>0</v>
      </c>
      <c r="AE41" s="292">
        <f t="shared" si="20"/>
        <v>106</v>
      </c>
      <c r="AF41" s="292"/>
      <c r="AG41" s="288">
        <v>0</v>
      </c>
      <c r="AH41" s="292">
        <v>0</v>
      </c>
      <c r="AI41" s="288">
        <v>0</v>
      </c>
      <c r="AJ41" s="504">
        <f t="shared" si="26"/>
        <v>0</v>
      </c>
      <c r="AK41" s="292">
        <v>0</v>
      </c>
      <c r="AL41" s="288">
        <v>0</v>
      </c>
      <c r="AM41" s="292">
        <v>0</v>
      </c>
      <c r="AN41" s="288">
        <v>0</v>
      </c>
      <c r="AO41" s="511">
        <f t="shared" si="23"/>
        <v>0</v>
      </c>
      <c r="AQ41" s="501"/>
      <c r="AR41" s="501"/>
    </row>
    <row r="42" spans="1:44" x14ac:dyDescent="0.25">
      <c r="A42" s="538" t="s">
        <v>448</v>
      </c>
      <c r="B42" s="280">
        <f t="shared" si="0"/>
        <v>3709</v>
      </c>
      <c r="C42" s="281">
        <f t="shared" si="1"/>
        <v>0.87953521460754092</v>
      </c>
      <c r="D42" s="282">
        <f t="shared" si="2"/>
        <v>508</v>
      </c>
      <c r="E42" s="281">
        <f t="shared" si="3"/>
        <v>0.1204647853924591</v>
      </c>
      <c r="F42" s="283">
        <f t="shared" si="4"/>
        <v>4217</v>
      </c>
      <c r="G42" s="284">
        <f>G43</f>
        <v>1620</v>
      </c>
      <c r="H42" s="281">
        <f t="shared" si="5"/>
        <v>0.88043478260869568</v>
      </c>
      <c r="I42" s="285">
        <f>I43</f>
        <v>220</v>
      </c>
      <c r="J42" s="281">
        <f t="shared" si="6"/>
        <v>0.11956521739130435</v>
      </c>
      <c r="K42" s="286">
        <f t="shared" si="7"/>
        <v>1840</v>
      </c>
      <c r="L42" s="284">
        <f>L43</f>
        <v>2089</v>
      </c>
      <c r="M42" s="281">
        <f t="shared" si="8"/>
        <v>0.8788388725283971</v>
      </c>
      <c r="N42" s="285">
        <f>N43</f>
        <v>288</v>
      </c>
      <c r="O42" s="281">
        <f t="shared" si="9"/>
        <v>0.12116112747160286</v>
      </c>
      <c r="P42" s="282">
        <f t="shared" si="10"/>
        <v>2377</v>
      </c>
      <c r="Q42" s="512">
        <f t="shared" si="24"/>
        <v>1628</v>
      </c>
      <c r="R42" s="281">
        <f t="shared" si="11"/>
        <v>0.88478260869565217</v>
      </c>
      <c r="S42" s="285">
        <f t="shared" ref="S42:AC42" si="32">S43</f>
        <v>212</v>
      </c>
      <c r="T42" s="281">
        <f t="shared" si="13"/>
        <v>0.11521739130434783</v>
      </c>
      <c r="U42" s="285">
        <f t="shared" si="14"/>
        <v>1840</v>
      </c>
      <c r="V42" s="285">
        <f t="shared" si="32"/>
        <v>0</v>
      </c>
      <c r="W42" s="281">
        <v>0</v>
      </c>
      <c r="X42" s="285">
        <f t="shared" si="32"/>
        <v>0</v>
      </c>
      <c r="Y42" s="281">
        <v>0</v>
      </c>
      <c r="Z42" s="285">
        <f t="shared" si="17"/>
        <v>0</v>
      </c>
      <c r="AA42" s="285">
        <f t="shared" si="32"/>
        <v>80</v>
      </c>
      <c r="AB42" s="281">
        <f t="shared" si="18"/>
        <v>0.90909090909090906</v>
      </c>
      <c r="AC42" s="285">
        <f t="shared" si="32"/>
        <v>8</v>
      </c>
      <c r="AD42" s="281">
        <f t="shared" si="19"/>
        <v>9.0909090909090912E-2</v>
      </c>
      <c r="AE42" s="285">
        <f t="shared" si="20"/>
        <v>88</v>
      </c>
      <c r="AF42" s="285"/>
      <c r="AG42" s="281">
        <v>0</v>
      </c>
      <c r="AH42" s="285">
        <f>AH43</f>
        <v>0</v>
      </c>
      <c r="AI42" s="281">
        <v>0</v>
      </c>
      <c r="AJ42" s="505">
        <f t="shared" si="26"/>
        <v>0</v>
      </c>
      <c r="AK42" s="285">
        <f>AK43</f>
        <v>0</v>
      </c>
      <c r="AL42" s="281">
        <v>0</v>
      </c>
      <c r="AM42" s="285">
        <f>AM43</f>
        <v>0</v>
      </c>
      <c r="AN42" s="281">
        <v>0</v>
      </c>
      <c r="AO42" s="509">
        <f t="shared" si="23"/>
        <v>0</v>
      </c>
      <c r="AQ42" s="501"/>
      <c r="AR42" s="501"/>
    </row>
    <row r="43" spans="1:44" x14ac:dyDescent="0.25">
      <c r="A43" s="539" t="s">
        <v>449</v>
      </c>
      <c r="B43" s="287">
        <f t="shared" si="0"/>
        <v>3709</v>
      </c>
      <c r="C43" s="288">
        <f t="shared" si="1"/>
        <v>0.87953521460754092</v>
      </c>
      <c r="D43" s="289">
        <f t="shared" si="2"/>
        <v>508</v>
      </c>
      <c r="E43" s="288">
        <f t="shared" si="3"/>
        <v>0.1204647853924591</v>
      </c>
      <c r="F43" s="290">
        <f t="shared" si="4"/>
        <v>4217</v>
      </c>
      <c r="G43" s="291">
        <v>1620</v>
      </c>
      <c r="H43" s="288">
        <f t="shared" si="5"/>
        <v>0.88043478260869568</v>
      </c>
      <c r="I43" s="292">
        <v>220</v>
      </c>
      <c r="J43" s="288">
        <f t="shared" si="6"/>
        <v>0.11956521739130435</v>
      </c>
      <c r="K43" s="293">
        <f t="shared" si="7"/>
        <v>1840</v>
      </c>
      <c r="L43" s="291">
        <v>2089</v>
      </c>
      <c r="M43" s="288">
        <f t="shared" si="8"/>
        <v>0.8788388725283971</v>
      </c>
      <c r="N43" s="292">
        <v>288</v>
      </c>
      <c r="O43" s="288">
        <f t="shared" si="9"/>
        <v>0.12116112747160286</v>
      </c>
      <c r="P43" s="289">
        <f t="shared" si="10"/>
        <v>2377</v>
      </c>
      <c r="Q43" s="510">
        <f t="shared" si="24"/>
        <v>1628</v>
      </c>
      <c r="R43" s="288">
        <f t="shared" si="11"/>
        <v>0.88478260869565217</v>
      </c>
      <c r="S43" s="292">
        <v>212</v>
      </c>
      <c r="T43" s="288">
        <f t="shared" si="13"/>
        <v>0.11521739130434783</v>
      </c>
      <c r="U43" s="292">
        <f t="shared" si="14"/>
        <v>1840</v>
      </c>
      <c r="V43" s="292">
        <v>0</v>
      </c>
      <c r="W43" s="288">
        <v>0</v>
      </c>
      <c r="X43" s="292">
        <v>0</v>
      </c>
      <c r="Y43" s="288">
        <v>0</v>
      </c>
      <c r="Z43" s="292">
        <f t="shared" si="17"/>
        <v>0</v>
      </c>
      <c r="AA43" s="292">
        <v>80</v>
      </c>
      <c r="AB43" s="288">
        <f t="shared" si="18"/>
        <v>0.90909090909090906</v>
      </c>
      <c r="AC43" s="292">
        <v>8</v>
      </c>
      <c r="AD43" s="288">
        <f t="shared" si="19"/>
        <v>9.0909090909090912E-2</v>
      </c>
      <c r="AE43" s="292">
        <f t="shared" si="20"/>
        <v>88</v>
      </c>
      <c r="AF43" s="292"/>
      <c r="AG43" s="288">
        <v>0</v>
      </c>
      <c r="AH43" s="292">
        <v>0</v>
      </c>
      <c r="AI43" s="288">
        <v>0</v>
      </c>
      <c r="AJ43" s="504">
        <f t="shared" si="26"/>
        <v>0</v>
      </c>
      <c r="AK43" s="292">
        <v>0</v>
      </c>
      <c r="AL43" s="288">
        <v>0</v>
      </c>
      <c r="AM43" s="292">
        <v>0</v>
      </c>
      <c r="AN43" s="288">
        <v>0</v>
      </c>
      <c r="AO43" s="511">
        <f t="shared" si="23"/>
        <v>0</v>
      </c>
      <c r="AQ43" s="501"/>
      <c r="AR43" s="501"/>
    </row>
    <row r="44" spans="1:44" x14ac:dyDescent="0.25">
      <c r="A44" s="538" t="s">
        <v>450</v>
      </c>
      <c r="B44" s="280">
        <f t="shared" si="0"/>
        <v>3969</v>
      </c>
      <c r="C44" s="281">
        <f t="shared" si="1"/>
        <v>0.91304347826086951</v>
      </c>
      <c r="D44" s="282">
        <f t="shared" si="2"/>
        <v>378</v>
      </c>
      <c r="E44" s="281">
        <f t="shared" si="3"/>
        <v>8.6956521739130432E-2</v>
      </c>
      <c r="F44" s="283">
        <f t="shared" si="4"/>
        <v>4347</v>
      </c>
      <c r="G44" s="297">
        <f>G45</f>
        <v>3102</v>
      </c>
      <c r="H44" s="281">
        <f t="shared" si="5"/>
        <v>0.9006968641114983</v>
      </c>
      <c r="I44" s="298">
        <f>I45</f>
        <v>342</v>
      </c>
      <c r="J44" s="281">
        <f t="shared" si="6"/>
        <v>9.9303135888501745E-2</v>
      </c>
      <c r="K44" s="286">
        <f t="shared" si="7"/>
        <v>3444</v>
      </c>
      <c r="L44" s="297">
        <f>L45</f>
        <v>867</v>
      </c>
      <c r="M44" s="281">
        <f t="shared" si="8"/>
        <v>0.96013289036544847</v>
      </c>
      <c r="N44" s="298">
        <f>N45</f>
        <v>36</v>
      </c>
      <c r="O44" s="281">
        <f t="shared" si="9"/>
        <v>3.9867109634551492E-2</v>
      </c>
      <c r="P44" s="282">
        <f t="shared" si="10"/>
        <v>903</v>
      </c>
      <c r="Q44" s="512">
        <f t="shared" si="24"/>
        <v>3218</v>
      </c>
      <c r="R44" s="281">
        <f t="shared" si="11"/>
        <v>0.9343786295005807</v>
      </c>
      <c r="S44" s="298">
        <f t="shared" ref="S44:AC44" si="33">S45</f>
        <v>226</v>
      </c>
      <c r="T44" s="281">
        <f t="shared" si="13"/>
        <v>6.5621370499419282E-2</v>
      </c>
      <c r="U44" s="298">
        <f t="shared" si="14"/>
        <v>3444</v>
      </c>
      <c r="V44" s="298">
        <f t="shared" si="33"/>
        <v>49</v>
      </c>
      <c r="W44" s="281">
        <f t="shared" si="15"/>
        <v>0.3828125</v>
      </c>
      <c r="X44" s="298">
        <f t="shared" si="33"/>
        <v>79</v>
      </c>
      <c r="Y44" s="281">
        <f t="shared" si="16"/>
        <v>0.6171875</v>
      </c>
      <c r="Z44" s="298">
        <f t="shared" si="17"/>
        <v>128</v>
      </c>
      <c r="AA44" s="298">
        <f t="shared" si="33"/>
        <v>366</v>
      </c>
      <c r="AB44" s="281">
        <f t="shared" si="18"/>
        <v>0.90818858560794047</v>
      </c>
      <c r="AC44" s="298">
        <f t="shared" si="33"/>
        <v>37</v>
      </c>
      <c r="AD44" s="281">
        <f t="shared" si="19"/>
        <v>9.1811414392059559E-2</v>
      </c>
      <c r="AE44" s="298">
        <f t="shared" si="20"/>
        <v>403</v>
      </c>
      <c r="AF44" s="298"/>
      <c r="AG44" s="281">
        <v>0</v>
      </c>
      <c r="AH44" s="298">
        <f>AH45</f>
        <v>0</v>
      </c>
      <c r="AI44" s="281">
        <v>0</v>
      </c>
      <c r="AJ44" s="505">
        <f t="shared" si="26"/>
        <v>0</v>
      </c>
      <c r="AK44" s="298">
        <f>AK45</f>
        <v>0</v>
      </c>
      <c r="AL44" s="281">
        <v>0</v>
      </c>
      <c r="AM44" s="298">
        <f>AM45</f>
        <v>0</v>
      </c>
      <c r="AN44" s="281">
        <v>0</v>
      </c>
      <c r="AO44" s="514">
        <f t="shared" si="23"/>
        <v>0</v>
      </c>
      <c r="AQ44" s="501"/>
      <c r="AR44" s="501"/>
    </row>
    <row r="45" spans="1:44" x14ac:dyDescent="0.25">
      <c r="A45" s="539" t="s">
        <v>451</v>
      </c>
      <c r="B45" s="287">
        <f t="shared" si="0"/>
        <v>3969</v>
      </c>
      <c r="C45" s="288">
        <f t="shared" si="1"/>
        <v>0.91304347826086951</v>
      </c>
      <c r="D45" s="289">
        <f t="shared" si="2"/>
        <v>378</v>
      </c>
      <c r="E45" s="288">
        <f t="shared" si="3"/>
        <v>8.6956521739130432E-2</v>
      </c>
      <c r="F45" s="290">
        <f t="shared" si="4"/>
        <v>4347</v>
      </c>
      <c r="G45" s="291">
        <v>3102</v>
      </c>
      <c r="H45" s="288">
        <f t="shared" si="5"/>
        <v>0.9006968641114983</v>
      </c>
      <c r="I45" s="292">
        <v>342</v>
      </c>
      <c r="J45" s="288">
        <f t="shared" si="6"/>
        <v>9.9303135888501745E-2</v>
      </c>
      <c r="K45" s="293">
        <f t="shared" si="7"/>
        <v>3444</v>
      </c>
      <c r="L45" s="291">
        <v>867</v>
      </c>
      <c r="M45" s="288">
        <f t="shared" si="8"/>
        <v>0.96013289036544847</v>
      </c>
      <c r="N45" s="292">
        <v>36</v>
      </c>
      <c r="O45" s="288">
        <f t="shared" si="9"/>
        <v>3.9867109634551492E-2</v>
      </c>
      <c r="P45" s="289">
        <f t="shared" si="10"/>
        <v>903</v>
      </c>
      <c r="Q45" s="510">
        <f t="shared" si="24"/>
        <v>3218</v>
      </c>
      <c r="R45" s="288">
        <f t="shared" si="11"/>
        <v>0.9343786295005807</v>
      </c>
      <c r="S45" s="292">
        <v>226</v>
      </c>
      <c r="T45" s="288">
        <f t="shared" si="13"/>
        <v>6.5621370499419282E-2</v>
      </c>
      <c r="U45" s="292">
        <f t="shared" si="14"/>
        <v>3444</v>
      </c>
      <c r="V45" s="292">
        <v>49</v>
      </c>
      <c r="W45" s="288">
        <f t="shared" si="15"/>
        <v>0.3828125</v>
      </c>
      <c r="X45" s="292">
        <v>79</v>
      </c>
      <c r="Y45" s="288">
        <f t="shared" si="16"/>
        <v>0.6171875</v>
      </c>
      <c r="Z45" s="292">
        <f t="shared" si="17"/>
        <v>128</v>
      </c>
      <c r="AA45" s="292">
        <v>366</v>
      </c>
      <c r="AB45" s="288">
        <f t="shared" si="18"/>
        <v>0.90818858560794047</v>
      </c>
      <c r="AC45" s="292">
        <v>37</v>
      </c>
      <c r="AD45" s="288">
        <f t="shared" si="19"/>
        <v>9.1811414392059559E-2</v>
      </c>
      <c r="AE45" s="292">
        <f t="shared" si="20"/>
        <v>403</v>
      </c>
      <c r="AF45" s="292"/>
      <c r="AG45" s="288">
        <v>0</v>
      </c>
      <c r="AH45" s="292"/>
      <c r="AI45" s="288">
        <v>0</v>
      </c>
      <c r="AJ45" s="504">
        <f t="shared" si="26"/>
        <v>0</v>
      </c>
      <c r="AK45" s="292"/>
      <c r="AL45" s="288">
        <v>0</v>
      </c>
      <c r="AM45" s="292"/>
      <c r="AN45" s="288">
        <v>0</v>
      </c>
      <c r="AO45" s="511">
        <f t="shared" si="23"/>
        <v>0</v>
      </c>
      <c r="AQ45" s="501"/>
      <c r="AR45" s="501"/>
    </row>
    <row r="46" spans="1:44" s="263" customFormat="1" x14ac:dyDescent="0.25">
      <c r="A46" s="299" t="s">
        <v>452</v>
      </c>
      <c r="B46" s="273">
        <f t="shared" si="0"/>
        <v>10559</v>
      </c>
      <c r="C46" s="274">
        <f t="shared" si="1"/>
        <v>0.88783317918103088</v>
      </c>
      <c r="D46" s="275">
        <f t="shared" si="2"/>
        <v>1334</v>
      </c>
      <c r="E46" s="274">
        <f t="shared" si="3"/>
        <v>0.11216682081896914</v>
      </c>
      <c r="F46" s="276">
        <f t="shared" si="4"/>
        <v>11893</v>
      </c>
      <c r="G46" s="299">
        <f>SUM(G47,G50,G52)</f>
        <v>4437</v>
      </c>
      <c r="H46" s="274">
        <f t="shared" si="5"/>
        <v>0.96835443037974689</v>
      </c>
      <c r="I46" s="300">
        <f>SUM(I47,I50,I52)</f>
        <v>145</v>
      </c>
      <c r="J46" s="274">
        <f t="shared" si="6"/>
        <v>3.1645569620253167E-2</v>
      </c>
      <c r="K46" s="279">
        <f t="shared" si="7"/>
        <v>4582</v>
      </c>
      <c r="L46" s="299">
        <f>SUM(L47,L50,L52)</f>
        <v>6122</v>
      </c>
      <c r="M46" s="274">
        <f t="shared" si="8"/>
        <v>0.83736834906305568</v>
      </c>
      <c r="N46" s="300">
        <f>SUM(N47,N50,N52)</f>
        <v>1189</v>
      </c>
      <c r="O46" s="274">
        <f t="shared" si="9"/>
        <v>0.16263165093694434</v>
      </c>
      <c r="P46" s="275">
        <f t="shared" si="10"/>
        <v>7311</v>
      </c>
      <c r="Q46" s="507"/>
      <c r="R46" s="274"/>
      <c r="S46" s="300"/>
      <c r="T46" s="274"/>
      <c r="U46" s="300"/>
      <c r="V46" s="300"/>
      <c r="W46" s="274"/>
      <c r="X46" s="300"/>
      <c r="Y46" s="274"/>
      <c r="Z46" s="300"/>
      <c r="AA46" s="300"/>
      <c r="AB46" s="274"/>
      <c r="AC46" s="300"/>
      <c r="AD46" s="274"/>
      <c r="AE46" s="300"/>
      <c r="AF46" s="300"/>
      <c r="AG46" s="274"/>
      <c r="AH46" s="170"/>
      <c r="AI46" s="530"/>
      <c r="AJ46" s="274"/>
      <c r="AK46" s="300"/>
      <c r="AL46" s="274"/>
      <c r="AM46" s="300"/>
      <c r="AN46" s="274"/>
      <c r="AO46" s="515"/>
      <c r="AQ46" s="501"/>
      <c r="AR46" s="501"/>
    </row>
    <row r="47" spans="1:44" x14ac:dyDescent="0.25">
      <c r="A47" s="301" t="s">
        <v>453</v>
      </c>
      <c r="B47" s="280">
        <f t="shared" si="0"/>
        <v>4089</v>
      </c>
      <c r="C47" s="281">
        <f t="shared" si="1"/>
        <v>0.80810276679841897</v>
      </c>
      <c r="D47" s="282">
        <f t="shared" si="2"/>
        <v>971</v>
      </c>
      <c r="E47" s="281">
        <f t="shared" si="3"/>
        <v>0.19189723320158103</v>
      </c>
      <c r="F47" s="283">
        <f t="shared" si="4"/>
        <v>5060</v>
      </c>
      <c r="G47" s="599">
        <f>SUM(G48:G49)</f>
        <v>2177</v>
      </c>
      <c r="H47" s="281">
        <f t="shared" si="5"/>
        <v>0.97492163009404387</v>
      </c>
      <c r="I47" s="302">
        <f>SUM(I48:I49)</f>
        <v>56</v>
      </c>
      <c r="J47" s="281">
        <f t="shared" si="6"/>
        <v>2.5078369905956112E-2</v>
      </c>
      <c r="K47" s="286">
        <f t="shared" si="7"/>
        <v>2233</v>
      </c>
      <c r="L47" s="301">
        <f>SUM(L48:L49)</f>
        <v>1912</v>
      </c>
      <c r="M47" s="281">
        <f t="shared" si="8"/>
        <v>0.67633533781393707</v>
      </c>
      <c r="N47" s="302">
        <f>SUM(N48:N49)</f>
        <v>915</v>
      </c>
      <c r="O47" s="281">
        <f t="shared" si="9"/>
        <v>0.32366466218606299</v>
      </c>
      <c r="P47" s="282">
        <f t="shared" si="10"/>
        <v>2827</v>
      </c>
      <c r="Q47" s="512"/>
      <c r="R47" s="281"/>
      <c r="S47" s="302"/>
      <c r="T47" s="281"/>
      <c r="U47" s="302"/>
      <c r="V47" s="302"/>
      <c r="W47" s="281"/>
      <c r="X47" s="302"/>
      <c r="Y47" s="281"/>
      <c r="Z47" s="302"/>
      <c r="AA47" s="302"/>
      <c r="AB47" s="281"/>
      <c r="AC47" s="302"/>
      <c r="AD47" s="281"/>
      <c r="AE47" s="302"/>
      <c r="AF47" s="302"/>
      <c r="AG47" s="281"/>
      <c r="AH47" s="238"/>
      <c r="AI47" s="531"/>
      <c r="AJ47" s="281"/>
      <c r="AK47" s="302"/>
      <c r="AL47" s="281"/>
      <c r="AM47" s="302"/>
      <c r="AN47" s="281"/>
      <c r="AO47" s="516"/>
      <c r="AQ47" s="501"/>
      <c r="AR47" s="501"/>
    </row>
    <row r="48" spans="1:44" x14ac:dyDescent="0.25">
      <c r="A48" s="303" t="s">
        <v>454</v>
      </c>
      <c r="B48" s="287">
        <v>2974</v>
      </c>
      <c r="C48" s="288">
        <v>0.75693560702468821</v>
      </c>
      <c r="D48" s="289">
        <v>955</v>
      </c>
      <c r="E48" s="288">
        <v>0.24306439297531179</v>
      </c>
      <c r="F48" s="290">
        <v>3929</v>
      </c>
      <c r="G48" s="287">
        <v>1807</v>
      </c>
      <c r="H48" s="288">
        <v>0.97675675675675677</v>
      </c>
      <c r="I48" s="289">
        <v>43</v>
      </c>
      <c r="J48" s="288">
        <v>2.3243243243243242E-2</v>
      </c>
      <c r="K48" s="290">
        <v>1850</v>
      </c>
      <c r="L48" s="287">
        <v>1167</v>
      </c>
      <c r="M48" s="288">
        <v>0.56132756132756134</v>
      </c>
      <c r="N48" s="289">
        <v>912</v>
      </c>
      <c r="O48" s="288">
        <v>0.43867243867243866</v>
      </c>
      <c r="P48" s="289">
        <v>2079</v>
      </c>
      <c r="Q48" s="510"/>
      <c r="R48" s="288"/>
      <c r="S48" s="289"/>
      <c r="T48" s="288"/>
      <c r="U48" s="289"/>
      <c r="V48" s="289"/>
      <c r="W48" s="288"/>
      <c r="X48" s="289"/>
      <c r="Y48" s="288"/>
      <c r="Z48" s="289"/>
      <c r="AA48" s="289"/>
      <c r="AB48" s="288"/>
      <c r="AC48" s="289"/>
      <c r="AD48" s="288"/>
      <c r="AE48" s="289"/>
      <c r="AF48" s="289"/>
      <c r="AG48" s="288"/>
      <c r="AH48" s="502"/>
      <c r="AI48" s="532"/>
      <c r="AJ48" s="288"/>
      <c r="AK48" s="289"/>
      <c r="AL48" s="288"/>
      <c r="AM48" s="289"/>
      <c r="AN48" s="288"/>
      <c r="AO48" s="517"/>
      <c r="AQ48" s="501"/>
      <c r="AR48" s="501"/>
    </row>
    <row r="49" spans="1:44" x14ac:dyDescent="0.25">
      <c r="A49" s="303" t="s">
        <v>455</v>
      </c>
      <c r="B49" s="287">
        <f t="shared" si="0"/>
        <v>1115</v>
      </c>
      <c r="C49" s="288">
        <f t="shared" si="1"/>
        <v>0.98585322723253754</v>
      </c>
      <c r="D49" s="289">
        <f t="shared" si="2"/>
        <v>16</v>
      </c>
      <c r="E49" s="288">
        <f t="shared" si="3"/>
        <v>1.4146772767462422E-2</v>
      </c>
      <c r="F49" s="290">
        <f t="shared" si="4"/>
        <v>1131</v>
      </c>
      <c r="G49" s="303">
        <f>370</f>
        <v>370</v>
      </c>
      <c r="H49" s="288">
        <f t="shared" si="5"/>
        <v>0.96605744125326376</v>
      </c>
      <c r="I49" s="304">
        <v>13</v>
      </c>
      <c r="J49" s="288">
        <f t="shared" si="6"/>
        <v>3.3942558746736295E-2</v>
      </c>
      <c r="K49" s="293">
        <f t="shared" si="7"/>
        <v>383</v>
      </c>
      <c r="L49" s="303">
        <f>14+731</f>
        <v>745</v>
      </c>
      <c r="M49" s="288">
        <f t="shared" si="8"/>
        <v>0.99598930481283421</v>
      </c>
      <c r="N49" s="304">
        <v>3</v>
      </c>
      <c r="O49" s="288">
        <f t="shared" si="9"/>
        <v>4.0106951871657758E-3</v>
      </c>
      <c r="P49" s="289">
        <f t="shared" si="10"/>
        <v>748</v>
      </c>
      <c r="Q49" s="510"/>
      <c r="R49" s="288"/>
      <c r="S49" s="304"/>
      <c r="T49" s="288"/>
      <c r="U49" s="304"/>
      <c r="V49" s="304"/>
      <c r="W49" s="288"/>
      <c r="X49" s="304"/>
      <c r="Y49" s="288"/>
      <c r="Z49" s="304"/>
      <c r="AA49" s="304"/>
      <c r="AB49" s="288"/>
      <c r="AC49" s="304"/>
      <c r="AD49" s="288"/>
      <c r="AE49" s="304"/>
      <c r="AF49" s="304"/>
      <c r="AG49" s="288"/>
      <c r="AH49" s="244"/>
      <c r="AI49" s="533"/>
      <c r="AJ49" s="288"/>
      <c r="AK49" s="304"/>
      <c r="AL49" s="288"/>
      <c r="AM49" s="304"/>
      <c r="AN49" s="288"/>
      <c r="AO49" s="518"/>
      <c r="AQ49" s="501"/>
      <c r="AR49" s="501"/>
    </row>
    <row r="50" spans="1:44" x14ac:dyDescent="0.25">
      <c r="A50" s="301" t="s">
        <v>456</v>
      </c>
      <c r="B50" s="280">
        <f t="shared" si="0"/>
        <v>1730</v>
      </c>
      <c r="C50" s="281">
        <f t="shared" si="1"/>
        <v>0.94638949671772432</v>
      </c>
      <c r="D50" s="282">
        <f t="shared" si="2"/>
        <v>98</v>
      </c>
      <c r="E50" s="281">
        <f t="shared" si="3"/>
        <v>5.3610503282275714E-2</v>
      </c>
      <c r="F50" s="283">
        <f t="shared" si="4"/>
        <v>1828</v>
      </c>
      <c r="G50" s="301">
        <f>SUM(G51)</f>
        <v>672</v>
      </c>
      <c r="H50" s="281">
        <f t="shared" si="5"/>
        <v>0.95726495726495731</v>
      </c>
      <c r="I50" s="302">
        <f>SUM(I51)</f>
        <v>30</v>
      </c>
      <c r="J50" s="281">
        <f t="shared" si="6"/>
        <v>4.2735042735042736E-2</v>
      </c>
      <c r="K50" s="286">
        <f t="shared" si="7"/>
        <v>702</v>
      </c>
      <c r="L50" s="301">
        <f>SUM(L51)</f>
        <v>1058</v>
      </c>
      <c r="M50" s="281">
        <f t="shared" si="8"/>
        <v>0.93960923623445824</v>
      </c>
      <c r="N50" s="302">
        <f>SUM(N51)</f>
        <v>68</v>
      </c>
      <c r="O50" s="281">
        <f t="shared" si="9"/>
        <v>6.0390763765541741E-2</v>
      </c>
      <c r="P50" s="282">
        <f t="shared" si="10"/>
        <v>1126</v>
      </c>
      <c r="Q50" s="512"/>
      <c r="R50" s="281"/>
      <c r="S50" s="302"/>
      <c r="T50" s="281"/>
      <c r="U50" s="302"/>
      <c r="V50" s="302"/>
      <c r="W50" s="281"/>
      <c r="X50" s="302"/>
      <c r="Y50" s="281"/>
      <c r="Z50" s="302"/>
      <c r="AA50" s="302"/>
      <c r="AB50" s="281"/>
      <c r="AC50" s="302"/>
      <c r="AD50" s="281"/>
      <c r="AE50" s="302"/>
      <c r="AF50" s="302"/>
      <c r="AG50" s="281"/>
      <c r="AH50" s="238"/>
      <c r="AI50" s="531"/>
      <c r="AJ50" s="281"/>
      <c r="AK50" s="302"/>
      <c r="AL50" s="281"/>
      <c r="AM50" s="302"/>
      <c r="AN50" s="281"/>
      <c r="AO50" s="516"/>
      <c r="AQ50" s="501"/>
      <c r="AR50" s="501"/>
    </row>
    <row r="51" spans="1:44" x14ac:dyDescent="0.25">
      <c r="A51" s="303" t="s">
        <v>457</v>
      </c>
      <c r="B51" s="287">
        <f t="shared" si="0"/>
        <v>1730</v>
      </c>
      <c r="C51" s="288">
        <f t="shared" si="1"/>
        <v>0.94638949671772432</v>
      </c>
      <c r="D51" s="289">
        <f t="shared" si="2"/>
        <v>98</v>
      </c>
      <c r="E51" s="288">
        <f t="shared" si="3"/>
        <v>5.3610503282275714E-2</v>
      </c>
      <c r="F51" s="290">
        <f t="shared" si="4"/>
        <v>1828</v>
      </c>
      <c r="G51" s="303">
        <f>13+543+116</f>
        <v>672</v>
      </c>
      <c r="H51" s="288">
        <f t="shared" si="5"/>
        <v>0.95726495726495731</v>
      </c>
      <c r="I51" s="304">
        <v>30</v>
      </c>
      <c r="J51" s="288">
        <f t="shared" si="6"/>
        <v>4.2735042735042736E-2</v>
      </c>
      <c r="K51" s="293">
        <f t="shared" si="7"/>
        <v>702</v>
      </c>
      <c r="L51" s="303">
        <f>20+1038</f>
        <v>1058</v>
      </c>
      <c r="M51" s="288">
        <f t="shared" si="8"/>
        <v>0.93960923623445824</v>
      </c>
      <c r="N51" s="304">
        <v>68</v>
      </c>
      <c r="O51" s="288">
        <f t="shared" si="9"/>
        <v>6.0390763765541741E-2</v>
      </c>
      <c r="P51" s="289">
        <f t="shared" si="10"/>
        <v>1126</v>
      </c>
      <c r="Q51" s="510"/>
      <c r="R51" s="288"/>
      <c r="S51" s="304"/>
      <c r="T51" s="288"/>
      <c r="U51" s="304"/>
      <c r="V51" s="304"/>
      <c r="W51" s="288"/>
      <c r="X51" s="304"/>
      <c r="Y51" s="288"/>
      <c r="Z51" s="304"/>
      <c r="AA51" s="304"/>
      <c r="AB51" s="288"/>
      <c r="AC51" s="304"/>
      <c r="AD51" s="288"/>
      <c r="AE51" s="304"/>
      <c r="AF51" s="304"/>
      <c r="AG51" s="288"/>
      <c r="AH51" s="244"/>
      <c r="AI51" s="533"/>
      <c r="AJ51" s="288"/>
      <c r="AK51" s="304"/>
      <c r="AL51" s="288"/>
      <c r="AM51" s="304"/>
      <c r="AN51" s="288"/>
      <c r="AO51" s="518"/>
      <c r="AQ51" s="501"/>
      <c r="AR51" s="501"/>
    </row>
    <row r="52" spans="1:44" x14ac:dyDescent="0.25">
      <c r="A52" s="301" t="s">
        <v>458</v>
      </c>
      <c r="B52" s="280">
        <f t="shared" si="0"/>
        <v>4740</v>
      </c>
      <c r="C52" s="281">
        <f t="shared" si="1"/>
        <v>0.94705294705294707</v>
      </c>
      <c r="D52" s="282">
        <f t="shared" si="2"/>
        <v>265</v>
      </c>
      <c r="E52" s="281">
        <f t="shared" si="3"/>
        <v>5.2947052947052944E-2</v>
      </c>
      <c r="F52" s="283">
        <f t="shared" si="4"/>
        <v>5005</v>
      </c>
      <c r="G52" s="301">
        <f>SUM(G53)</f>
        <v>1588</v>
      </c>
      <c r="H52" s="281">
        <f t="shared" si="5"/>
        <v>0.96417729204614455</v>
      </c>
      <c r="I52" s="302">
        <f>SUM(I53)</f>
        <v>59</v>
      </c>
      <c r="J52" s="281">
        <f t="shared" si="6"/>
        <v>3.5822707953855497E-2</v>
      </c>
      <c r="K52" s="286">
        <f t="shared" si="7"/>
        <v>1647</v>
      </c>
      <c r="L52" s="301">
        <f>SUM(L53)</f>
        <v>3152</v>
      </c>
      <c r="M52" s="281">
        <f t="shared" si="8"/>
        <v>0.93865396069088747</v>
      </c>
      <c r="N52" s="302">
        <f>SUM(N53)</f>
        <v>206</v>
      </c>
      <c r="O52" s="281">
        <f t="shared" si="9"/>
        <v>6.1346039309112567E-2</v>
      </c>
      <c r="P52" s="282">
        <f t="shared" si="10"/>
        <v>3358</v>
      </c>
      <c r="Q52" s="512"/>
      <c r="R52" s="281"/>
      <c r="S52" s="302"/>
      <c r="T52" s="281"/>
      <c r="U52" s="302"/>
      <c r="V52" s="302"/>
      <c r="W52" s="281"/>
      <c r="X52" s="302"/>
      <c r="Y52" s="281"/>
      <c r="Z52" s="302"/>
      <c r="AA52" s="302"/>
      <c r="AB52" s="281"/>
      <c r="AC52" s="302"/>
      <c r="AD52" s="281"/>
      <c r="AE52" s="302"/>
      <c r="AF52" s="302"/>
      <c r="AG52" s="281"/>
      <c r="AH52" s="238"/>
      <c r="AI52" s="531"/>
      <c r="AJ52" s="281"/>
      <c r="AK52" s="302"/>
      <c r="AL52" s="281"/>
      <c r="AM52" s="302"/>
      <c r="AN52" s="281"/>
      <c r="AO52" s="516"/>
      <c r="AQ52" s="501"/>
      <c r="AR52" s="501"/>
    </row>
    <row r="53" spans="1:44" ht="12.75" thickBot="1" x14ac:dyDescent="0.3">
      <c r="A53" s="309" t="s">
        <v>459</v>
      </c>
      <c r="B53" s="305">
        <f t="shared" si="0"/>
        <v>4740</v>
      </c>
      <c r="C53" s="306">
        <f t="shared" si="1"/>
        <v>0.94705294705294707</v>
      </c>
      <c r="D53" s="307">
        <f t="shared" si="2"/>
        <v>265</v>
      </c>
      <c r="E53" s="306">
        <f t="shared" si="3"/>
        <v>5.2947052947052944E-2</v>
      </c>
      <c r="F53" s="308">
        <f t="shared" si="4"/>
        <v>5005</v>
      </c>
      <c r="G53" s="309">
        <f>172+1332+82+2</f>
        <v>1588</v>
      </c>
      <c r="H53" s="306">
        <f t="shared" si="5"/>
        <v>0.96417729204614455</v>
      </c>
      <c r="I53" s="310">
        <v>59</v>
      </c>
      <c r="J53" s="306">
        <f t="shared" si="6"/>
        <v>3.5822707953855497E-2</v>
      </c>
      <c r="K53" s="311">
        <f t="shared" si="7"/>
        <v>1647</v>
      </c>
      <c r="L53" s="309">
        <f>144+3008</f>
        <v>3152</v>
      </c>
      <c r="M53" s="306">
        <f t="shared" si="8"/>
        <v>0.93865396069088747</v>
      </c>
      <c r="N53" s="310">
        <v>206</v>
      </c>
      <c r="O53" s="306">
        <f t="shared" si="9"/>
        <v>6.1346039309112567E-2</v>
      </c>
      <c r="P53" s="307">
        <f t="shared" si="10"/>
        <v>3358</v>
      </c>
      <c r="Q53" s="519"/>
      <c r="R53" s="306"/>
      <c r="S53" s="310"/>
      <c r="T53" s="306"/>
      <c r="U53" s="310"/>
      <c r="V53" s="310"/>
      <c r="W53" s="306"/>
      <c r="X53" s="310"/>
      <c r="Y53" s="306"/>
      <c r="Z53" s="310"/>
      <c r="AA53" s="310"/>
      <c r="AB53" s="306"/>
      <c r="AC53" s="310"/>
      <c r="AD53" s="306"/>
      <c r="AE53" s="310"/>
      <c r="AF53" s="310"/>
      <c r="AG53" s="306"/>
      <c r="AH53" s="540"/>
      <c r="AI53" s="541"/>
      <c r="AJ53" s="306"/>
      <c r="AK53" s="310"/>
      <c r="AL53" s="306"/>
      <c r="AM53" s="310"/>
      <c r="AN53" s="306"/>
      <c r="AO53" s="520"/>
      <c r="AQ53" s="501"/>
      <c r="AR53" s="501"/>
    </row>
    <row r="54" spans="1:44" s="526" customFormat="1" x14ac:dyDescent="0.25">
      <c r="A54" s="312"/>
      <c r="B54" s="244"/>
      <c r="C54" s="313"/>
      <c r="D54" s="244"/>
      <c r="E54" s="313"/>
      <c r="F54" s="313"/>
      <c r="G54" s="244"/>
      <c r="H54" s="313"/>
      <c r="I54" s="244"/>
      <c r="J54" s="313"/>
      <c r="K54" s="313"/>
      <c r="L54" s="244"/>
      <c r="M54" s="313"/>
      <c r="N54" s="244"/>
      <c r="O54" s="313"/>
      <c r="P54" s="222"/>
      <c r="Q54" s="500"/>
      <c r="R54" s="500"/>
      <c r="S54" s="500"/>
      <c r="T54" s="500"/>
      <c r="U54" s="500"/>
      <c r="V54" s="500"/>
      <c r="W54" s="500"/>
      <c r="X54" s="500"/>
      <c r="Y54" s="500"/>
      <c r="Z54" s="500"/>
      <c r="AA54" s="500"/>
      <c r="AB54" s="500"/>
      <c r="AC54" s="500"/>
      <c r="AD54" s="500"/>
      <c r="AE54" s="500"/>
      <c r="AF54" s="500"/>
      <c r="AG54" s="500"/>
      <c r="AH54" s="500"/>
      <c r="AI54" s="500"/>
      <c r="AJ54" s="500"/>
      <c r="AK54" s="500"/>
      <c r="AL54" s="500"/>
      <c r="AM54" s="500"/>
      <c r="AN54" s="500"/>
      <c r="AO54" s="500"/>
    </row>
    <row r="55" spans="1:44" x14ac:dyDescent="0.25">
      <c r="A55" s="727" t="s">
        <v>483</v>
      </c>
      <c r="B55" s="259" t="s">
        <v>484</v>
      </c>
      <c r="C55" s="314"/>
      <c r="D55" s="56"/>
      <c r="E55" s="314"/>
      <c r="F55" s="314"/>
      <c r="H55" s="314"/>
      <c r="J55" s="314"/>
      <c r="M55" s="314"/>
      <c r="O55" s="314"/>
    </row>
  </sheetData>
  <sheetProtection algorithmName="SHA-512" hashValue="sfnRbmV239O2BmyAd+iAnK25g5O7NDKuOViitrK4qzPKSX+CS/IrWK1sgM51PAks2uPI7+Bu4ckP4uL6YIh23Q==" saltValue="Vs07QrLMra4EkJPoJBhERA==" spinCount="100000" sheet="1" objects="1" scenarios="1"/>
  <mergeCells count="24">
    <mergeCell ref="AK1:AO1"/>
    <mergeCell ref="Q2:R2"/>
    <mergeCell ref="S2:T2"/>
    <mergeCell ref="V2:W2"/>
    <mergeCell ref="X2:Y2"/>
    <mergeCell ref="AA2:AB2"/>
    <mergeCell ref="AC2:AD2"/>
    <mergeCell ref="AF2:AG2"/>
    <mergeCell ref="AH2:AI2"/>
    <mergeCell ref="AK2:AL2"/>
    <mergeCell ref="AM2:AN2"/>
    <mergeCell ref="Q1:U1"/>
    <mergeCell ref="V1:Z1"/>
    <mergeCell ref="AA1:AE1"/>
    <mergeCell ref="AF1:AJ1"/>
    <mergeCell ref="B1:F1"/>
    <mergeCell ref="G1:K1"/>
    <mergeCell ref="L1:P1"/>
    <mergeCell ref="B2:C2"/>
    <mergeCell ref="D2:E2"/>
    <mergeCell ref="G2:H2"/>
    <mergeCell ref="I2:J2"/>
    <mergeCell ref="L2:M2"/>
    <mergeCell ref="N2:O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99A27-087A-44BC-BBCA-D75C2DDBF1D7}">
  <dimension ref="A1:AB62"/>
  <sheetViews>
    <sheetView showGridLines="0" zoomScaleNormal="100" workbookViewId="0">
      <pane xSplit="1" ySplit="2" topLeftCell="B15" activePane="bottomRight" state="frozen"/>
      <selection pane="topRight" activeCell="B1" sqref="B1"/>
      <selection pane="bottomLeft" activeCell="A3" sqref="A3"/>
      <selection pane="bottomRight" activeCell="B57" sqref="B57"/>
    </sheetView>
  </sheetViews>
  <sheetFormatPr defaultColWidth="9.140625" defaultRowHeight="12" x14ac:dyDescent="0.25"/>
  <cols>
    <col min="1" max="1" width="28.5703125" style="259" bestFit="1" customWidth="1"/>
    <col min="2" max="2" width="7.85546875" style="260" customWidth="1"/>
    <col min="3" max="3" width="7.140625" style="211" customWidth="1"/>
    <col min="4" max="4" width="7.85546875" style="260" customWidth="1"/>
    <col min="5" max="5" width="6.5703125" style="211" bestFit="1" customWidth="1"/>
    <col min="6" max="6" width="7.85546875" style="260" customWidth="1"/>
    <col min="7" max="7" width="5.28515625" style="211" bestFit="1" customWidth="1"/>
    <col min="8" max="8" width="7.85546875" style="260" customWidth="1"/>
    <col min="9" max="9" width="6.5703125" style="211" bestFit="1" customWidth="1"/>
    <col min="10" max="10" width="8.5703125" style="260" bestFit="1" customWidth="1"/>
    <col min="11" max="11" width="7.85546875" style="260" customWidth="1"/>
    <col min="12" max="12" width="6.5703125" style="211" bestFit="1" customWidth="1"/>
    <col min="13" max="13" width="7.85546875" style="260" customWidth="1"/>
    <col min="14" max="14" width="6.5703125" style="211" bestFit="1" customWidth="1"/>
    <col min="15" max="15" width="7.85546875" style="260" customWidth="1"/>
    <col min="16" max="16" width="6.5703125" style="211" bestFit="1" customWidth="1"/>
    <col min="17" max="17" width="7.85546875" style="260" customWidth="1"/>
    <col min="18" max="18" width="5.5703125" style="211" bestFit="1" customWidth="1"/>
    <col min="19" max="19" width="8.5703125" style="260" bestFit="1" customWidth="1"/>
    <col min="20" max="20" width="7.85546875" style="260" customWidth="1"/>
    <col min="21" max="21" width="6.5703125" style="211" bestFit="1" customWidth="1"/>
    <col min="22" max="22" width="7.85546875" style="260" customWidth="1"/>
    <col min="23" max="23" width="5.28515625" style="211" bestFit="1" customWidth="1"/>
    <col min="24" max="24" width="7.85546875" style="260" customWidth="1"/>
    <col min="25" max="25" width="6.5703125" style="211" bestFit="1" customWidth="1"/>
    <col min="26" max="26" width="7.85546875" style="260" customWidth="1"/>
    <col min="27" max="27" width="5.5703125" style="211" bestFit="1" customWidth="1"/>
    <col min="28" max="28" width="7.5703125" style="260" bestFit="1" customWidth="1"/>
    <col min="29" max="16384" width="9.140625" style="211"/>
  </cols>
  <sheetData>
    <row r="1" spans="1:28" s="201" customFormat="1" x14ac:dyDescent="0.25">
      <c r="A1" s="200"/>
      <c r="B1" s="837" t="s">
        <v>461</v>
      </c>
      <c r="C1" s="838"/>
      <c r="D1" s="838"/>
      <c r="E1" s="838"/>
      <c r="F1" s="838"/>
      <c r="G1" s="838"/>
      <c r="H1" s="838"/>
      <c r="I1" s="838"/>
      <c r="J1" s="839"/>
      <c r="K1" s="840" t="s">
        <v>485</v>
      </c>
      <c r="L1" s="841"/>
      <c r="M1" s="841"/>
      <c r="N1" s="841"/>
      <c r="O1" s="841"/>
      <c r="P1" s="841"/>
      <c r="Q1" s="841"/>
      <c r="R1" s="841"/>
      <c r="S1" s="842"/>
      <c r="T1" s="840" t="s">
        <v>486</v>
      </c>
      <c r="U1" s="838"/>
      <c r="V1" s="841"/>
      <c r="W1" s="838"/>
      <c r="X1" s="841"/>
      <c r="Y1" s="838"/>
      <c r="Z1" s="841"/>
      <c r="AA1" s="838"/>
      <c r="AB1" s="842"/>
    </row>
    <row r="2" spans="1:28" s="203" customFormat="1" ht="26.25" customHeight="1" x14ac:dyDescent="0.25">
      <c r="A2" s="634" t="s">
        <v>157</v>
      </c>
      <c r="B2" s="843" t="s">
        <v>487</v>
      </c>
      <c r="C2" s="844"/>
      <c r="D2" s="845" t="s">
        <v>488</v>
      </c>
      <c r="E2" s="844"/>
      <c r="F2" s="845" t="s">
        <v>489</v>
      </c>
      <c r="G2" s="844"/>
      <c r="H2" s="845" t="s">
        <v>490</v>
      </c>
      <c r="I2" s="844"/>
      <c r="J2" s="202" t="s">
        <v>398</v>
      </c>
      <c r="K2" s="843" t="s">
        <v>487</v>
      </c>
      <c r="L2" s="844"/>
      <c r="M2" s="845" t="s">
        <v>488</v>
      </c>
      <c r="N2" s="844"/>
      <c r="O2" s="845" t="s">
        <v>489</v>
      </c>
      <c r="P2" s="844"/>
      <c r="Q2" s="845" t="s">
        <v>490</v>
      </c>
      <c r="R2" s="844"/>
      <c r="S2" s="202" t="s">
        <v>398</v>
      </c>
      <c r="T2" s="843" t="s">
        <v>487</v>
      </c>
      <c r="U2" s="844"/>
      <c r="V2" s="845" t="s">
        <v>488</v>
      </c>
      <c r="W2" s="844"/>
      <c r="X2" s="845" t="s">
        <v>489</v>
      </c>
      <c r="Y2" s="844"/>
      <c r="Z2" s="845" t="s">
        <v>490</v>
      </c>
      <c r="AA2" s="844"/>
      <c r="AB2" s="202" t="s">
        <v>398</v>
      </c>
    </row>
    <row r="3" spans="1:28" x14ac:dyDescent="0.25">
      <c r="A3" s="204" t="s">
        <v>417</v>
      </c>
      <c r="B3" s="205">
        <f>B4+B46</f>
        <v>7844.8837209302328</v>
      </c>
      <c r="C3" s="206">
        <f>B3/J3</f>
        <v>0.40166318780043175</v>
      </c>
      <c r="D3" s="207">
        <f>D4+D46</f>
        <v>4423.5348837209303</v>
      </c>
      <c r="E3" s="206">
        <f>D3/J3</f>
        <v>0.2264878850914408</v>
      </c>
      <c r="F3" s="207">
        <f>F4+F46</f>
        <v>6320.3255813953492</v>
      </c>
      <c r="G3" s="206">
        <f>F3/J3</f>
        <v>0.32360481190903434</v>
      </c>
      <c r="H3" s="207">
        <f>H4+H46</f>
        <v>942.25581395348831</v>
      </c>
      <c r="I3" s="206">
        <f>H3/J3</f>
        <v>4.8244115199093149E-2</v>
      </c>
      <c r="J3" s="208">
        <f>B3+D3+F3+H3</f>
        <v>19531</v>
      </c>
      <c r="K3" s="209">
        <f>K4</f>
        <v>3416</v>
      </c>
      <c r="L3" s="206">
        <f>K3/S3</f>
        <v>0.17745454545454545</v>
      </c>
      <c r="M3" s="210">
        <f>M4</f>
        <v>2979</v>
      </c>
      <c r="N3" s="206">
        <f>M3/S3</f>
        <v>0.15475324675324675</v>
      </c>
      <c r="O3" s="210">
        <f>O4+O46</f>
        <v>12130</v>
      </c>
      <c r="P3" s="206">
        <f>O3/S3</f>
        <v>0.6301298701298701</v>
      </c>
      <c r="Q3" s="210">
        <f>Q4+Q46</f>
        <v>725</v>
      </c>
      <c r="R3" s="206">
        <f>Q3/S3</f>
        <v>3.7662337662337661E-2</v>
      </c>
      <c r="S3" s="208">
        <f>K3+M3+O3+Q3</f>
        <v>19250</v>
      </c>
      <c r="T3" s="205">
        <f>T4+T46</f>
        <v>24</v>
      </c>
      <c r="U3" s="206">
        <f>T3/AB3</f>
        <v>0.11059907834101383</v>
      </c>
      <c r="V3" s="207">
        <f>V4+V46</f>
        <v>17</v>
      </c>
      <c r="W3" s="206">
        <f t="shared" ref="W3:W34" si="0">V3/AB3</f>
        <v>7.8341013824884786E-2</v>
      </c>
      <c r="X3" s="207">
        <f>X4+X46</f>
        <v>123</v>
      </c>
      <c r="Y3" s="206">
        <f>X3/AB3</f>
        <v>0.56682027649769584</v>
      </c>
      <c r="Z3" s="207">
        <f>Z4+Z46</f>
        <v>53</v>
      </c>
      <c r="AA3" s="206">
        <f>Z3/AB3</f>
        <v>0.24423963133640553</v>
      </c>
      <c r="AB3" s="208">
        <f>T3+V3+X3+Z3</f>
        <v>217</v>
      </c>
    </row>
    <row r="4" spans="1:28" s="201" customFormat="1" x14ac:dyDescent="0.25">
      <c r="A4" s="212" t="s">
        <v>418</v>
      </c>
      <c r="B4" s="213">
        <f>SUM(B5,B9,B15,B20,B33,B35,B40,B42,B44)</f>
        <v>6915.8837209302328</v>
      </c>
      <c r="C4" s="214">
        <f t="shared" ref="C4:C53" si="1">B4/J4</f>
        <v>0.46263186306309667</v>
      </c>
      <c r="D4" s="215">
        <f>SUM(D5,D9,D15,D20,D33,D35,D40,D42,D44)</f>
        <v>4423.5348837209303</v>
      </c>
      <c r="E4" s="214">
        <f t="shared" ref="E4:E53" si="2">D4/J4</f>
        <v>0.29590841418964009</v>
      </c>
      <c r="F4" s="215">
        <f>SUM(F5,F9,F15,F20,F33,F35,F40,F42,F44)</f>
        <v>3051.3255813953488</v>
      </c>
      <c r="G4" s="214">
        <f t="shared" ref="G4:G53" si="3">F4/J4</f>
        <v>0.20411569880228433</v>
      </c>
      <c r="H4" s="215">
        <f>SUM(H5,H9,H15,H20,H33,H35,H40,H42,H44)</f>
        <v>558.25581395348831</v>
      </c>
      <c r="I4" s="214">
        <f t="shared" ref="I4:I53" si="4">H4/J4</f>
        <v>3.7344023944978814E-2</v>
      </c>
      <c r="J4" s="216">
        <f t="shared" ref="J4:J53" si="5">B4+D4+F4+H4</f>
        <v>14949.000000000002</v>
      </c>
      <c r="K4" s="213">
        <f>SUM(K5,K9,K15,K20,K33,K35,K40,K42,K44)</f>
        <v>3416</v>
      </c>
      <c r="L4" s="214">
        <f t="shared" ref="L4:L45" si="6">K4/S4</f>
        <v>0.28612111567132925</v>
      </c>
      <c r="M4" s="215">
        <f>SUM(M5,M9,M15,M20,M33,M35,M40,M42,M44)</f>
        <v>2979</v>
      </c>
      <c r="N4" s="214">
        <f t="shared" ref="N4:N45" si="7">M4/S4</f>
        <v>0.24951838512438226</v>
      </c>
      <c r="O4" s="215">
        <f>SUM(O5,O9,O15,O20,O33,O35,O40,O42,O44)</f>
        <v>5060</v>
      </c>
      <c r="P4" s="214">
        <f t="shared" ref="P4:P53" si="8">O4/S4</f>
        <v>0.42382109054359662</v>
      </c>
      <c r="Q4" s="215">
        <f>SUM(Q5,Q9,Q15,Q20,Q33,Q35,Q40,Q42,Q44)</f>
        <v>484</v>
      </c>
      <c r="R4" s="214">
        <f t="shared" ref="R4:R53" si="9">Q4/S4</f>
        <v>4.0539408660691847E-2</v>
      </c>
      <c r="S4" s="216">
        <f t="shared" ref="S4:S45" si="10">K4+M4+O4+Q4</f>
        <v>11939</v>
      </c>
      <c r="T4" s="213">
        <f>SUM(T5,T9,T15,T20,T33,T35,T40,T42,T44)</f>
        <v>24</v>
      </c>
      <c r="U4" s="214">
        <f t="shared" ref="U4:U53" si="11">T4/AB4</f>
        <v>0.16216216216216217</v>
      </c>
      <c r="V4" s="215">
        <f>SUM(V5,V9,V15,V20,V33,V35,V40,V42,V44)</f>
        <v>17</v>
      </c>
      <c r="W4" s="214">
        <f t="shared" si="0"/>
        <v>0.11486486486486487</v>
      </c>
      <c r="X4" s="215">
        <f>SUM(X5,X9,X15,X20,X33,X35,X40,X42,X44)</f>
        <v>63</v>
      </c>
      <c r="Y4" s="214">
        <f t="shared" ref="Y4:Y53" si="12">X4/AB4</f>
        <v>0.42567567567567566</v>
      </c>
      <c r="Z4" s="215">
        <f>SUM(Z5,Z9,Z15,Z20,Z33,Z35,Z40,Z42,Z44)</f>
        <v>44</v>
      </c>
      <c r="AA4" s="214">
        <f t="shared" ref="AA4:AA53" si="13">Z4/AB4</f>
        <v>0.29729729729729731</v>
      </c>
      <c r="AB4" s="216">
        <f>T4+V4+X4+Z4</f>
        <v>148</v>
      </c>
    </row>
    <row r="5" spans="1:28" x14ac:dyDescent="0.25">
      <c r="A5" s="217" t="s">
        <v>419</v>
      </c>
      <c r="B5" s="218">
        <f>SUM(B6:B8)</f>
        <v>266</v>
      </c>
      <c r="C5" s="219">
        <f t="shared" si="1"/>
        <v>0.1927536231884058</v>
      </c>
      <c r="D5" s="220">
        <f>SUM(D6:D8)</f>
        <v>930</v>
      </c>
      <c r="E5" s="219">
        <f>D5/J5</f>
        <v>0.67391304347826086</v>
      </c>
      <c r="F5" s="220">
        <f>SUM(F6:F8)</f>
        <v>173</v>
      </c>
      <c r="G5" s="219">
        <f>F5/J5</f>
        <v>0.12536231884057972</v>
      </c>
      <c r="H5" s="220">
        <f>SUM(H6:H8)</f>
        <v>11</v>
      </c>
      <c r="I5" s="219">
        <f t="shared" si="4"/>
        <v>7.9710144927536229E-3</v>
      </c>
      <c r="J5" s="221">
        <f t="shared" si="5"/>
        <v>1380</v>
      </c>
      <c r="K5" s="218">
        <f>SUM(K6:K8)</f>
        <v>632</v>
      </c>
      <c r="L5" s="219">
        <f t="shared" si="6"/>
        <v>0.28277404921700222</v>
      </c>
      <c r="M5" s="220">
        <f>SUM(M6:M8)</f>
        <v>1400</v>
      </c>
      <c r="N5" s="219">
        <f t="shared" si="7"/>
        <v>0.62639821029082776</v>
      </c>
      <c r="O5" s="220">
        <f>SUM(O6:O8)</f>
        <v>200</v>
      </c>
      <c r="P5" s="219">
        <f t="shared" si="8"/>
        <v>8.9485458612975396E-2</v>
      </c>
      <c r="Q5" s="220">
        <f>SUM(Q6:Q8)</f>
        <v>3</v>
      </c>
      <c r="R5" s="219">
        <f t="shared" si="9"/>
        <v>1.3422818791946308E-3</v>
      </c>
      <c r="S5" s="221">
        <f t="shared" si="10"/>
        <v>2235</v>
      </c>
      <c r="T5" s="218">
        <f>SUM(T6:T8)</f>
        <v>0</v>
      </c>
      <c r="U5" s="219">
        <f t="shared" si="11"/>
        <v>0</v>
      </c>
      <c r="V5" s="220">
        <f>SUM(V6:V8)</f>
        <v>6</v>
      </c>
      <c r="W5" s="219">
        <f t="shared" si="0"/>
        <v>0.2608695652173913</v>
      </c>
      <c r="X5" s="220">
        <f>SUM(X6:X8)</f>
        <v>10</v>
      </c>
      <c r="Y5" s="219">
        <f t="shared" si="12"/>
        <v>0.43478260869565216</v>
      </c>
      <c r="Z5" s="220">
        <f>SUM(Z6:Z8)</f>
        <v>7</v>
      </c>
      <c r="AA5" s="219">
        <f t="shared" si="13"/>
        <v>0.30434782608695654</v>
      </c>
      <c r="AB5" s="221">
        <f t="shared" ref="AB5:AB6" si="14">T5+V5+X5+Z5</f>
        <v>23</v>
      </c>
    </row>
    <row r="6" spans="1:28" x14ac:dyDescent="0.25">
      <c r="A6" s="222" t="s">
        <v>420</v>
      </c>
      <c r="B6" s="223">
        <v>263</v>
      </c>
      <c r="C6" s="224">
        <f t="shared" si="1"/>
        <v>0.19670905011219147</v>
      </c>
      <c r="D6" s="225">
        <v>910</v>
      </c>
      <c r="E6" s="224">
        <f t="shared" si="2"/>
        <v>0.68062827225130895</v>
      </c>
      <c r="F6" s="225">
        <v>156</v>
      </c>
      <c r="G6" s="224">
        <f t="shared" si="3"/>
        <v>0.11667913238593867</v>
      </c>
      <c r="H6" s="225">
        <v>8</v>
      </c>
      <c r="I6" s="224">
        <f t="shared" si="4"/>
        <v>5.9835452505609572E-3</v>
      </c>
      <c r="J6" s="226">
        <f t="shared" si="5"/>
        <v>1337</v>
      </c>
      <c r="K6" s="223">
        <v>495</v>
      </c>
      <c r="L6" s="224">
        <f t="shared" si="6"/>
        <v>0.24005819592628516</v>
      </c>
      <c r="M6" s="225">
        <v>1391</v>
      </c>
      <c r="N6" s="224">
        <f t="shared" si="7"/>
        <v>0.67458777885548016</v>
      </c>
      <c r="O6" s="225">
        <v>173</v>
      </c>
      <c r="P6" s="224">
        <f t="shared" si="8"/>
        <v>8.3899127061105722E-2</v>
      </c>
      <c r="Q6" s="225">
        <v>3</v>
      </c>
      <c r="R6" s="224">
        <f t="shared" si="9"/>
        <v>1.454898157129001E-3</v>
      </c>
      <c r="S6" s="226">
        <f t="shared" si="10"/>
        <v>2062</v>
      </c>
      <c r="T6" s="223">
        <v>0</v>
      </c>
      <c r="U6" s="224">
        <f t="shared" si="11"/>
        <v>0</v>
      </c>
      <c r="V6" s="225">
        <v>6</v>
      </c>
      <c r="W6" s="224">
        <f t="shared" si="0"/>
        <v>0.375</v>
      </c>
      <c r="X6" s="225">
        <v>4</v>
      </c>
      <c r="Y6" s="224">
        <f t="shared" si="12"/>
        <v>0.25</v>
      </c>
      <c r="Z6" s="225">
        <v>6</v>
      </c>
      <c r="AA6" s="224">
        <f t="shared" si="13"/>
        <v>0.375</v>
      </c>
      <c r="AB6" s="226">
        <f t="shared" si="14"/>
        <v>16</v>
      </c>
    </row>
    <row r="7" spans="1:28" x14ac:dyDescent="0.25">
      <c r="A7" s="222" t="s">
        <v>421</v>
      </c>
      <c r="B7" s="223">
        <v>3</v>
      </c>
      <c r="C7" s="224">
        <f>B7/J7</f>
        <v>7.8947368421052627E-2</v>
      </c>
      <c r="D7" s="225">
        <v>18</v>
      </c>
      <c r="E7" s="224">
        <f>D7/J7</f>
        <v>0.47368421052631576</v>
      </c>
      <c r="F7" s="225">
        <v>15</v>
      </c>
      <c r="G7" s="224">
        <f>F7/J7</f>
        <v>0.39473684210526316</v>
      </c>
      <c r="H7" s="225">
        <v>2</v>
      </c>
      <c r="I7" s="224">
        <f>H7/J7</f>
        <v>5.2631578947368418E-2</v>
      </c>
      <c r="J7" s="226">
        <f>B7+D7+F7+H7</f>
        <v>38</v>
      </c>
      <c r="K7" s="223">
        <v>137</v>
      </c>
      <c r="L7" s="224">
        <f>K7/S7</f>
        <v>0.79190751445086704</v>
      </c>
      <c r="M7" s="225">
        <v>9</v>
      </c>
      <c r="N7" s="224">
        <f>M7/S7</f>
        <v>5.2023121387283239E-2</v>
      </c>
      <c r="O7" s="225">
        <v>27</v>
      </c>
      <c r="P7" s="224">
        <f>O7/S7</f>
        <v>0.15606936416184972</v>
      </c>
      <c r="Q7" s="225"/>
      <c r="R7" s="224">
        <f>Q7/S7</f>
        <v>0</v>
      </c>
      <c r="S7" s="226">
        <f>K7+M7+O7+Q7</f>
        <v>173</v>
      </c>
      <c r="T7" s="223">
        <v>0</v>
      </c>
      <c r="U7" s="224">
        <f>T7/AB7</f>
        <v>0</v>
      </c>
      <c r="V7" s="225">
        <v>0</v>
      </c>
      <c r="W7" s="224">
        <f>V7/AB7</f>
        <v>0</v>
      </c>
      <c r="X7" s="225">
        <v>6</v>
      </c>
      <c r="Y7" s="224">
        <f>X7/AB7</f>
        <v>0.8571428571428571</v>
      </c>
      <c r="Z7" s="225">
        <v>1</v>
      </c>
      <c r="AA7" s="224">
        <f>Z7/AB7</f>
        <v>0.14285714285714285</v>
      </c>
      <c r="AB7" s="226">
        <f>T7+V7+X7+Z7</f>
        <v>7</v>
      </c>
    </row>
    <row r="8" spans="1:28" x14ac:dyDescent="0.25">
      <c r="A8" s="222" t="s">
        <v>422</v>
      </c>
      <c r="B8" s="223"/>
      <c r="C8" s="224">
        <f t="shared" si="1"/>
        <v>0</v>
      </c>
      <c r="D8" s="225">
        <v>2</v>
      </c>
      <c r="E8" s="224">
        <f t="shared" si="2"/>
        <v>0.4</v>
      </c>
      <c r="F8" s="225">
        <v>2</v>
      </c>
      <c r="G8" s="224">
        <f t="shared" si="3"/>
        <v>0.4</v>
      </c>
      <c r="H8" s="225">
        <v>1</v>
      </c>
      <c r="I8" s="224">
        <f t="shared" si="4"/>
        <v>0.2</v>
      </c>
      <c r="J8" s="226">
        <f t="shared" si="5"/>
        <v>5</v>
      </c>
      <c r="K8" s="223"/>
      <c r="L8" s="224"/>
      <c r="M8" s="225">
        <v>0</v>
      </c>
      <c r="N8" s="224"/>
      <c r="O8" s="225">
        <v>0</v>
      </c>
      <c r="P8" s="224"/>
      <c r="Q8" s="225">
        <v>0</v>
      </c>
      <c r="R8" s="224"/>
      <c r="S8" s="226">
        <v>0</v>
      </c>
      <c r="T8" s="223"/>
      <c r="U8" s="224">
        <v>0</v>
      </c>
      <c r="V8" s="225"/>
      <c r="W8" s="224">
        <v>0</v>
      </c>
      <c r="X8" s="225"/>
      <c r="Y8" s="224">
        <v>0</v>
      </c>
      <c r="Z8" s="225">
        <v>0</v>
      </c>
      <c r="AA8" s="224"/>
      <c r="AB8" s="226">
        <v>0</v>
      </c>
    </row>
    <row r="9" spans="1:28" x14ac:dyDescent="0.25">
      <c r="A9" s="217" t="s">
        <v>423</v>
      </c>
      <c r="B9" s="227">
        <f>SUM(B10:B13)</f>
        <v>5</v>
      </c>
      <c r="C9" s="228">
        <f t="shared" si="1"/>
        <v>4.1322314049586778E-2</v>
      </c>
      <c r="D9" s="229">
        <f>SUM(D10:D13)</f>
        <v>3</v>
      </c>
      <c r="E9" s="228">
        <f t="shared" si="2"/>
        <v>2.4793388429752067E-2</v>
      </c>
      <c r="F9" s="229">
        <f>SUM(F10:F14)</f>
        <v>98</v>
      </c>
      <c r="G9" s="228">
        <f t="shared" si="3"/>
        <v>0.80991735537190079</v>
      </c>
      <c r="H9" s="229">
        <f>SUM(H10:H14)</f>
        <v>15</v>
      </c>
      <c r="I9" s="228">
        <f t="shared" si="4"/>
        <v>0.12396694214876033</v>
      </c>
      <c r="J9" s="230">
        <f t="shared" si="5"/>
        <v>121</v>
      </c>
      <c r="K9" s="227">
        <f>SUM(K10:K14)</f>
        <v>144</v>
      </c>
      <c r="L9" s="228">
        <f t="shared" si="6"/>
        <v>0.5625</v>
      </c>
      <c r="M9" s="229">
        <f>SUM(M10:M14)</f>
        <v>96</v>
      </c>
      <c r="N9" s="228">
        <f t="shared" si="7"/>
        <v>0.375</v>
      </c>
      <c r="O9" s="229">
        <f>SUM(O10:O14)</f>
        <v>15</v>
      </c>
      <c r="P9" s="228">
        <f t="shared" si="8"/>
        <v>5.859375E-2</v>
      </c>
      <c r="Q9" s="229">
        <f>SUM(Q10:Q13)</f>
        <v>1</v>
      </c>
      <c r="R9" s="228">
        <f t="shared" si="9"/>
        <v>3.90625E-3</v>
      </c>
      <c r="S9" s="230">
        <f t="shared" si="10"/>
        <v>256</v>
      </c>
      <c r="T9" s="229">
        <f>SUM(T10:T14)</f>
        <v>0</v>
      </c>
      <c r="U9" s="228">
        <f t="shared" si="11"/>
        <v>0</v>
      </c>
      <c r="V9" s="229">
        <f>SUM(V10:V14)</f>
        <v>0</v>
      </c>
      <c r="W9" s="228">
        <f t="shared" si="0"/>
        <v>0</v>
      </c>
      <c r="X9" s="229">
        <f>SUM(X10:X14)</f>
        <v>12</v>
      </c>
      <c r="Y9" s="228">
        <f t="shared" si="12"/>
        <v>0.8571428571428571</v>
      </c>
      <c r="Z9" s="229">
        <f>SUM(Z10:Z14)</f>
        <v>2</v>
      </c>
      <c r="AA9" s="228">
        <f t="shared" si="13"/>
        <v>0.14285714285714285</v>
      </c>
      <c r="AB9" s="230">
        <f>T9+V9+X9+Z9</f>
        <v>14</v>
      </c>
    </row>
    <row r="10" spans="1:28" x14ac:dyDescent="0.25">
      <c r="A10" s="222" t="s">
        <v>424</v>
      </c>
      <c r="B10" s="223">
        <v>5</v>
      </c>
      <c r="C10" s="224">
        <f t="shared" si="1"/>
        <v>0.1</v>
      </c>
      <c r="D10" s="225">
        <v>0</v>
      </c>
      <c r="E10" s="224">
        <f t="shared" si="2"/>
        <v>0</v>
      </c>
      <c r="F10" s="225">
        <v>44</v>
      </c>
      <c r="G10" s="224">
        <f t="shared" si="3"/>
        <v>0.88</v>
      </c>
      <c r="H10" s="225">
        <v>1</v>
      </c>
      <c r="I10" s="224">
        <f t="shared" si="4"/>
        <v>0.02</v>
      </c>
      <c r="J10" s="226">
        <f t="shared" si="5"/>
        <v>50</v>
      </c>
      <c r="K10" s="223">
        <v>138</v>
      </c>
      <c r="L10" s="224">
        <f t="shared" si="6"/>
        <v>0.6</v>
      </c>
      <c r="M10" s="225">
        <v>92</v>
      </c>
      <c r="N10" s="224">
        <f t="shared" si="7"/>
        <v>0.4</v>
      </c>
      <c r="O10" s="225">
        <v>0</v>
      </c>
      <c r="P10" s="224">
        <f t="shared" si="8"/>
        <v>0</v>
      </c>
      <c r="Q10" s="225">
        <v>0</v>
      </c>
      <c r="R10" s="224">
        <f t="shared" si="9"/>
        <v>0</v>
      </c>
      <c r="S10" s="226">
        <f t="shared" si="10"/>
        <v>230</v>
      </c>
      <c r="T10" s="223">
        <v>0</v>
      </c>
      <c r="U10" s="224">
        <f t="shared" si="11"/>
        <v>0</v>
      </c>
      <c r="V10" s="225">
        <v>0</v>
      </c>
      <c r="W10" s="224">
        <f t="shared" si="0"/>
        <v>0</v>
      </c>
      <c r="X10" s="225">
        <v>6</v>
      </c>
      <c r="Y10" s="224">
        <f t="shared" si="12"/>
        <v>1</v>
      </c>
      <c r="Z10" s="225">
        <v>0</v>
      </c>
      <c r="AA10" s="224">
        <f t="shared" si="13"/>
        <v>0</v>
      </c>
      <c r="AB10" s="226">
        <f t="shared" ref="AB10" si="15">T10+V10+X10+Z10</f>
        <v>6</v>
      </c>
    </row>
    <row r="11" spans="1:28" x14ac:dyDescent="0.25">
      <c r="A11" s="222" t="s">
        <v>425</v>
      </c>
      <c r="B11" s="223" t="s">
        <v>491</v>
      </c>
      <c r="C11" s="224"/>
      <c r="D11" s="225" t="s">
        <v>491</v>
      </c>
      <c r="E11" s="224"/>
      <c r="F11" s="225" t="s">
        <v>491</v>
      </c>
      <c r="G11" s="224"/>
      <c r="H11" s="225" t="s">
        <v>491</v>
      </c>
      <c r="I11" s="224" t="s">
        <v>491</v>
      </c>
      <c r="J11" s="226">
        <v>0</v>
      </c>
      <c r="K11" s="223"/>
      <c r="L11" s="224"/>
      <c r="M11" s="225"/>
      <c r="N11" s="224"/>
      <c r="O11" s="225"/>
      <c r="P11" s="224"/>
      <c r="Q11" s="225"/>
      <c r="R11" s="224" t="s">
        <v>491</v>
      </c>
      <c r="S11" s="226">
        <v>0</v>
      </c>
      <c r="T11" s="223"/>
      <c r="U11" s="224">
        <v>0</v>
      </c>
      <c r="V11" s="225"/>
      <c r="W11" s="224">
        <v>0</v>
      </c>
      <c r="X11" s="225"/>
      <c r="Y11" s="224"/>
      <c r="Z11" s="225"/>
      <c r="AA11" s="224" t="s">
        <v>491</v>
      </c>
      <c r="AB11" s="226">
        <v>0</v>
      </c>
    </row>
    <row r="12" spans="1:28" x14ac:dyDescent="0.25">
      <c r="A12" s="222" t="s">
        <v>477</v>
      </c>
      <c r="B12" s="223"/>
      <c r="C12" s="224">
        <f t="shared" si="1"/>
        <v>0</v>
      </c>
      <c r="D12" s="225">
        <v>3</v>
      </c>
      <c r="E12" s="224">
        <f t="shared" si="2"/>
        <v>0.75</v>
      </c>
      <c r="F12" s="225">
        <v>1</v>
      </c>
      <c r="G12" s="224">
        <f t="shared" si="3"/>
        <v>0.25</v>
      </c>
      <c r="H12" s="225"/>
      <c r="I12" s="224">
        <f t="shared" si="4"/>
        <v>0</v>
      </c>
      <c r="J12" s="226">
        <f t="shared" si="5"/>
        <v>4</v>
      </c>
      <c r="K12" s="223">
        <v>6</v>
      </c>
      <c r="L12" s="224">
        <f t="shared" si="6"/>
        <v>0.3</v>
      </c>
      <c r="M12" s="225">
        <v>4</v>
      </c>
      <c r="N12" s="224">
        <f t="shared" si="7"/>
        <v>0.2</v>
      </c>
      <c r="O12" s="225">
        <v>9</v>
      </c>
      <c r="P12" s="224">
        <f t="shared" si="8"/>
        <v>0.45</v>
      </c>
      <c r="Q12" s="225">
        <v>1</v>
      </c>
      <c r="R12" s="224">
        <f t="shared" si="9"/>
        <v>0.05</v>
      </c>
      <c r="S12" s="226">
        <f t="shared" si="10"/>
        <v>20</v>
      </c>
      <c r="T12" s="223"/>
      <c r="U12" s="224">
        <f t="shared" si="11"/>
        <v>0</v>
      </c>
      <c r="V12" s="225"/>
      <c r="W12" s="224">
        <f t="shared" si="0"/>
        <v>0</v>
      </c>
      <c r="X12" s="225">
        <v>1</v>
      </c>
      <c r="Y12" s="224">
        <f t="shared" si="12"/>
        <v>1</v>
      </c>
      <c r="Z12" s="225"/>
      <c r="AA12" s="224">
        <f t="shared" si="13"/>
        <v>0</v>
      </c>
      <c r="AB12" s="226">
        <f t="shared" ref="AB12:AB45" si="16">T12+V12+X12+Z12</f>
        <v>1</v>
      </c>
    </row>
    <row r="13" spans="1:28" x14ac:dyDescent="0.25">
      <c r="A13" s="222" t="s">
        <v>422</v>
      </c>
      <c r="B13" s="223">
        <v>0</v>
      </c>
      <c r="C13" s="224">
        <f t="shared" si="1"/>
        <v>0</v>
      </c>
      <c r="D13" s="225">
        <v>0</v>
      </c>
      <c r="E13" s="224">
        <f t="shared" si="2"/>
        <v>0</v>
      </c>
      <c r="F13" s="225">
        <v>9</v>
      </c>
      <c r="G13" s="224">
        <f t="shared" si="3"/>
        <v>0.6428571428571429</v>
      </c>
      <c r="H13" s="225">
        <v>5</v>
      </c>
      <c r="I13" s="224">
        <f t="shared" si="4"/>
        <v>0.35714285714285715</v>
      </c>
      <c r="J13" s="226">
        <f t="shared" si="5"/>
        <v>14</v>
      </c>
      <c r="K13" s="223">
        <v>0</v>
      </c>
      <c r="L13" s="224">
        <v>0</v>
      </c>
      <c r="M13" s="225">
        <v>0</v>
      </c>
      <c r="N13" s="224">
        <v>0</v>
      </c>
      <c r="O13" s="225">
        <v>0</v>
      </c>
      <c r="P13" s="224">
        <v>0</v>
      </c>
      <c r="Q13" s="225">
        <v>0</v>
      </c>
      <c r="R13" s="224">
        <v>0</v>
      </c>
      <c r="S13" s="226">
        <f t="shared" si="10"/>
        <v>0</v>
      </c>
      <c r="T13" s="223">
        <v>0</v>
      </c>
      <c r="U13" s="224">
        <f t="shared" si="11"/>
        <v>0</v>
      </c>
      <c r="V13" s="225">
        <v>0</v>
      </c>
      <c r="W13" s="224">
        <f t="shared" si="0"/>
        <v>0</v>
      </c>
      <c r="X13" s="225">
        <v>1</v>
      </c>
      <c r="Y13" s="224">
        <v>0</v>
      </c>
      <c r="Z13" s="225">
        <v>0</v>
      </c>
      <c r="AA13" s="224">
        <v>0</v>
      </c>
      <c r="AB13" s="226">
        <f t="shared" si="16"/>
        <v>1</v>
      </c>
    </row>
    <row r="14" spans="1:28" x14ac:dyDescent="0.25">
      <c r="A14" s="222" t="s">
        <v>426</v>
      </c>
      <c r="B14" s="223"/>
      <c r="C14" s="224">
        <f>B14/J14</f>
        <v>0</v>
      </c>
      <c r="D14" s="225"/>
      <c r="E14" s="224">
        <f>D14/J14</f>
        <v>0</v>
      </c>
      <c r="F14" s="225">
        <v>44</v>
      </c>
      <c r="G14" s="224">
        <f>F14/J14</f>
        <v>0.83018867924528306</v>
      </c>
      <c r="H14" s="225">
        <v>9</v>
      </c>
      <c r="I14" s="224">
        <f>H14/J14</f>
        <v>0.16981132075471697</v>
      </c>
      <c r="J14" s="226">
        <f>B14+D14+F14+H14</f>
        <v>53</v>
      </c>
      <c r="K14" s="223"/>
      <c r="L14" s="224">
        <f>K14/S14</f>
        <v>0</v>
      </c>
      <c r="M14" s="225"/>
      <c r="N14" s="224">
        <f>M14/S14</f>
        <v>0</v>
      </c>
      <c r="O14" s="225">
        <v>6</v>
      </c>
      <c r="P14" s="224">
        <f>O14/S14</f>
        <v>1</v>
      </c>
      <c r="Q14" s="225"/>
      <c r="R14" s="224">
        <f>Q14/S14</f>
        <v>0</v>
      </c>
      <c r="S14" s="226">
        <f>K14+M14+O14+Q14</f>
        <v>6</v>
      </c>
      <c r="T14" s="223"/>
      <c r="U14" s="224">
        <f>T14/AB14</f>
        <v>0</v>
      </c>
      <c r="V14" s="225"/>
      <c r="W14" s="224">
        <f>V14/AB14</f>
        <v>0</v>
      </c>
      <c r="X14" s="225">
        <v>4</v>
      </c>
      <c r="Y14" s="224">
        <f>X14/AB14</f>
        <v>0.66666666666666663</v>
      </c>
      <c r="Z14" s="225">
        <v>2</v>
      </c>
      <c r="AA14" s="224">
        <f>Z14/AB14</f>
        <v>0.33333333333333331</v>
      </c>
      <c r="AB14" s="226">
        <f>T14+V14+X14+Z14</f>
        <v>6</v>
      </c>
    </row>
    <row r="15" spans="1:28" x14ac:dyDescent="0.25">
      <c r="A15" s="217" t="s">
        <v>428</v>
      </c>
      <c r="B15" s="227">
        <f>SUM(B16:B19)</f>
        <v>575.88372093023258</v>
      </c>
      <c r="C15" s="228">
        <f t="shared" si="1"/>
        <v>0.81918025736875189</v>
      </c>
      <c r="D15" s="229">
        <f>SUM(D16:D19)</f>
        <v>75.534883720930225</v>
      </c>
      <c r="E15" s="228">
        <f t="shared" si="2"/>
        <v>0.10744649177941711</v>
      </c>
      <c r="F15" s="229">
        <f>SUM(F16:F19)</f>
        <v>5.3255813953488369</v>
      </c>
      <c r="G15" s="228">
        <f t="shared" si="3"/>
        <v>7.5755069635118589E-3</v>
      </c>
      <c r="H15" s="229">
        <f>SUM(H16:H19)</f>
        <v>46.255813953488371</v>
      </c>
      <c r="I15" s="228">
        <f t="shared" si="4"/>
        <v>6.579774388831916E-2</v>
      </c>
      <c r="J15" s="230">
        <f t="shared" si="5"/>
        <v>703</v>
      </c>
      <c r="K15" s="227">
        <f>SUM(K16:K19)</f>
        <v>0</v>
      </c>
      <c r="L15" s="228">
        <f t="shared" si="6"/>
        <v>0</v>
      </c>
      <c r="M15" s="229">
        <f>SUM(M16:M19)</f>
        <v>141</v>
      </c>
      <c r="N15" s="228">
        <f t="shared" si="7"/>
        <v>1</v>
      </c>
      <c r="O15" s="229">
        <f>SUM(O16:O19)</f>
        <v>0</v>
      </c>
      <c r="P15" s="228">
        <f t="shared" si="8"/>
        <v>0</v>
      </c>
      <c r="Q15" s="229">
        <f>SUM(Q16:Q19)</f>
        <v>0</v>
      </c>
      <c r="R15" s="228">
        <f t="shared" si="9"/>
        <v>0</v>
      </c>
      <c r="S15" s="230">
        <f t="shared" si="10"/>
        <v>141</v>
      </c>
      <c r="T15" s="227">
        <f>SUM(T16:T19)</f>
        <v>3</v>
      </c>
      <c r="U15" s="228">
        <f t="shared" si="11"/>
        <v>0.375</v>
      </c>
      <c r="V15" s="229">
        <f>SUM(V16:V19)</f>
        <v>1</v>
      </c>
      <c r="W15" s="228">
        <f t="shared" si="0"/>
        <v>0.125</v>
      </c>
      <c r="X15" s="229">
        <f>SUM(X16:X19)</f>
        <v>1</v>
      </c>
      <c r="Y15" s="228">
        <f t="shared" si="12"/>
        <v>0.125</v>
      </c>
      <c r="Z15" s="229">
        <f>SUM(Z16:Z19)</f>
        <v>3</v>
      </c>
      <c r="AA15" s="228">
        <f t="shared" si="13"/>
        <v>0.375</v>
      </c>
      <c r="AB15" s="230">
        <f t="shared" si="16"/>
        <v>8</v>
      </c>
    </row>
    <row r="16" spans="1:28" x14ac:dyDescent="0.25">
      <c r="A16" s="222" t="s">
        <v>429</v>
      </c>
      <c r="B16" s="223">
        <v>480</v>
      </c>
      <c r="C16" s="224">
        <f t="shared" si="1"/>
        <v>0.9393346379647749</v>
      </c>
      <c r="D16" s="225">
        <v>27</v>
      </c>
      <c r="E16" s="224">
        <f t="shared" si="2"/>
        <v>5.2837573385518588E-2</v>
      </c>
      <c r="F16" s="225">
        <v>1</v>
      </c>
      <c r="G16" s="224">
        <f t="shared" si="3"/>
        <v>1.9569471624266144E-3</v>
      </c>
      <c r="H16" s="225">
        <v>3</v>
      </c>
      <c r="I16" s="224">
        <f t="shared" si="4"/>
        <v>5.8708414872798431E-3</v>
      </c>
      <c r="J16" s="226">
        <f t="shared" si="5"/>
        <v>511</v>
      </c>
      <c r="K16" s="223">
        <v>0</v>
      </c>
      <c r="L16" s="224">
        <f t="shared" si="6"/>
        <v>0</v>
      </c>
      <c r="M16" s="225">
        <v>141</v>
      </c>
      <c r="N16" s="224">
        <f t="shared" si="7"/>
        <v>1</v>
      </c>
      <c r="O16" s="225">
        <v>0</v>
      </c>
      <c r="P16" s="224">
        <f t="shared" si="8"/>
        <v>0</v>
      </c>
      <c r="Q16" s="225">
        <v>0</v>
      </c>
      <c r="R16" s="224">
        <f t="shared" si="9"/>
        <v>0</v>
      </c>
      <c r="S16" s="226">
        <f t="shared" si="10"/>
        <v>141</v>
      </c>
      <c r="T16" s="223">
        <v>3</v>
      </c>
      <c r="U16" s="224">
        <f t="shared" si="11"/>
        <v>0.375</v>
      </c>
      <c r="V16" s="225">
        <v>1</v>
      </c>
      <c r="W16" s="224">
        <f t="shared" si="0"/>
        <v>0.125</v>
      </c>
      <c r="X16" s="225">
        <v>1</v>
      </c>
      <c r="Y16" s="224">
        <f t="shared" si="12"/>
        <v>0.125</v>
      </c>
      <c r="Z16" s="225">
        <v>3</v>
      </c>
      <c r="AA16" s="224">
        <f t="shared" si="13"/>
        <v>0.375</v>
      </c>
      <c r="AB16" s="226">
        <f t="shared" si="16"/>
        <v>8</v>
      </c>
    </row>
    <row r="17" spans="1:28" x14ac:dyDescent="0.25">
      <c r="A17" s="222" t="s">
        <v>427</v>
      </c>
      <c r="B17" s="223"/>
      <c r="C17" s="224">
        <f t="shared" si="1"/>
        <v>0</v>
      </c>
      <c r="D17" s="225">
        <v>15</v>
      </c>
      <c r="E17" s="224">
        <f t="shared" si="2"/>
        <v>1</v>
      </c>
      <c r="F17" s="225"/>
      <c r="G17" s="224">
        <f t="shared" si="3"/>
        <v>0</v>
      </c>
      <c r="H17" s="225"/>
      <c r="I17" s="224">
        <f t="shared" si="4"/>
        <v>0</v>
      </c>
      <c r="J17" s="226">
        <f t="shared" si="5"/>
        <v>15</v>
      </c>
      <c r="K17" s="223"/>
      <c r="L17" s="224">
        <v>0</v>
      </c>
      <c r="M17" s="225">
        <v>0</v>
      </c>
      <c r="N17" s="231">
        <v>0</v>
      </c>
      <c r="O17" s="225">
        <v>0</v>
      </c>
      <c r="P17" s="231">
        <v>0</v>
      </c>
      <c r="Q17" s="225"/>
      <c r="R17" s="231">
        <v>0</v>
      </c>
      <c r="S17" s="226">
        <f t="shared" si="10"/>
        <v>0</v>
      </c>
      <c r="T17" s="223"/>
      <c r="U17" s="224">
        <v>0</v>
      </c>
      <c r="V17" s="225"/>
      <c r="W17" s="224">
        <v>0</v>
      </c>
      <c r="X17" s="225"/>
      <c r="Y17" s="231">
        <v>0</v>
      </c>
      <c r="Z17" s="225"/>
      <c r="AA17" s="231">
        <v>0</v>
      </c>
      <c r="AB17" s="226">
        <f t="shared" si="16"/>
        <v>0</v>
      </c>
    </row>
    <row r="18" spans="1:28" x14ac:dyDescent="0.25">
      <c r="A18" s="222" t="s">
        <v>430</v>
      </c>
      <c r="B18" s="223">
        <v>95.883720930232556</v>
      </c>
      <c r="C18" s="224">
        <f t="shared" si="1"/>
        <v>0.61860465116279073</v>
      </c>
      <c r="D18" s="225">
        <v>11.534883720930232</v>
      </c>
      <c r="E18" s="224">
        <f t="shared" si="2"/>
        <v>7.441860465116279E-2</v>
      </c>
      <c r="F18" s="225">
        <v>4.3255813953488369</v>
      </c>
      <c r="G18" s="224">
        <f t="shared" si="3"/>
        <v>2.7906976744186046E-2</v>
      </c>
      <c r="H18" s="225">
        <v>43.255813953488371</v>
      </c>
      <c r="I18" s="224">
        <f t="shared" si="4"/>
        <v>0.27906976744186046</v>
      </c>
      <c r="J18" s="226">
        <f t="shared" si="5"/>
        <v>155</v>
      </c>
      <c r="K18" s="223"/>
      <c r="L18" s="224">
        <v>0</v>
      </c>
      <c r="M18" s="225">
        <v>0</v>
      </c>
      <c r="N18" s="231">
        <v>0</v>
      </c>
      <c r="O18" s="225">
        <v>0</v>
      </c>
      <c r="P18" s="231">
        <v>0</v>
      </c>
      <c r="Q18" s="225"/>
      <c r="R18" s="231">
        <v>0</v>
      </c>
      <c r="S18" s="226">
        <f t="shared" si="10"/>
        <v>0</v>
      </c>
      <c r="T18" s="223"/>
      <c r="U18" s="224">
        <v>0</v>
      </c>
      <c r="V18" s="225"/>
      <c r="W18" s="224">
        <v>0</v>
      </c>
      <c r="X18" s="225"/>
      <c r="Y18" s="231">
        <v>0</v>
      </c>
      <c r="Z18" s="225"/>
      <c r="AA18" s="231">
        <v>0</v>
      </c>
      <c r="AB18" s="226">
        <f t="shared" si="16"/>
        <v>0</v>
      </c>
    </row>
    <row r="19" spans="1:28" x14ac:dyDescent="0.25">
      <c r="A19" s="222" t="s">
        <v>431</v>
      </c>
      <c r="B19" s="223"/>
      <c r="C19" s="224">
        <f t="shared" si="1"/>
        <v>0</v>
      </c>
      <c r="D19" s="225">
        <v>22</v>
      </c>
      <c r="E19" s="224">
        <f t="shared" si="2"/>
        <v>1</v>
      </c>
      <c r="F19" s="225"/>
      <c r="G19" s="224">
        <f t="shared" si="3"/>
        <v>0</v>
      </c>
      <c r="H19" s="225"/>
      <c r="I19" s="224">
        <f t="shared" si="4"/>
        <v>0</v>
      </c>
      <c r="J19" s="226">
        <f t="shared" si="5"/>
        <v>22</v>
      </c>
      <c r="K19" s="223"/>
      <c r="L19" s="224">
        <v>0</v>
      </c>
      <c r="M19" s="225">
        <v>0</v>
      </c>
      <c r="N19" s="231">
        <v>0</v>
      </c>
      <c r="O19" s="225">
        <v>0</v>
      </c>
      <c r="P19" s="231">
        <v>0</v>
      </c>
      <c r="Q19" s="225"/>
      <c r="R19" s="231">
        <v>0</v>
      </c>
      <c r="S19" s="226">
        <f t="shared" si="10"/>
        <v>0</v>
      </c>
      <c r="T19" s="223"/>
      <c r="U19" s="224">
        <v>0</v>
      </c>
      <c r="V19" s="225">
        <v>0</v>
      </c>
      <c r="W19" s="224">
        <v>0</v>
      </c>
      <c r="X19" s="225">
        <v>0</v>
      </c>
      <c r="Y19" s="231">
        <v>0</v>
      </c>
      <c r="Z19" s="225">
        <v>0</v>
      </c>
      <c r="AA19" s="231">
        <v>0</v>
      </c>
      <c r="AB19" s="226">
        <f t="shared" si="16"/>
        <v>0</v>
      </c>
    </row>
    <row r="20" spans="1:28" x14ac:dyDescent="0.25">
      <c r="A20" s="217" t="s">
        <v>432</v>
      </c>
      <c r="B20" s="227">
        <f>SUM(B21:B32)</f>
        <v>3652</v>
      </c>
      <c r="C20" s="228">
        <f t="shared" si="1"/>
        <v>0.94123711340206184</v>
      </c>
      <c r="D20" s="229">
        <f>SUM(D21:D32)</f>
        <v>8</v>
      </c>
      <c r="E20" s="228">
        <f t="shared" si="2"/>
        <v>2.0618556701030928E-3</v>
      </c>
      <c r="F20" s="229">
        <f>SUM(F21:F32)</f>
        <v>157</v>
      </c>
      <c r="G20" s="228">
        <f t="shared" si="3"/>
        <v>4.0463917525773198E-2</v>
      </c>
      <c r="H20" s="229">
        <f>SUM(H21:H32)</f>
        <v>63</v>
      </c>
      <c r="I20" s="228">
        <f t="shared" si="4"/>
        <v>1.6237113402061857E-2</v>
      </c>
      <c r="J20" s="230">
        <f t="shared" si="5"/>
        <v>3880</v>
      </c>
      <c r="K20" s="227">
        <f>SUM(K21:K32)</f>
        <v>148</v>
      </c>
      <c r="L20" s="228">
        <f t="shared" si="6"/>
        <v>0.14299516908212562</v>
      </c>
      <c r="M20" s="229">
        <f>SUM(M21:M32)</f>
        <v>0</v>
      </c>
      <c r="N20" s="228">
        <f t="shared" si="7"/>
        <v>0</v>
      </c>
      <c r="O20" s="229">
        <f>SUM(O21:O32)</f>
        <v>887</v>
      </c>
      <c r="P20" s="228">
        <f t="shared" si="8"/>
        <v>0.85700483091787438</v>
      </c>
      <c r="Q20" s="229">
        <f>SUM(Q21:Q32)</f>
        <v>0</v>
      </c>
      <c r="R20" s="228">
        <f t="shared" si="9"/>
        <v>0</v>
      </c>
      <c r="S20" s="230">
        <f t="shared" si="10"/>
        <v>1035</v>
      </c>
      <c r="T20" s="227">
        <f>SUM(T21:T32)</f>
        <v>19</v>
      </c>
      <c r="U20" s="228">
        <f t="shared" si="11"/>
        <v>0.86363636363636365</v>
      </c>
      <c r="V20" s="229">
        <f>SUM(V21:V32)</f>
        <v>0</v>
      </c>
      <c r="W20" s="228">
        <f t="shared" si="0"/>
        <v>0</v>
      </c>
      <c r="X20" s="229">
        <f>SUM(X21:X32)</f>
        <v>0</v>
      </c>
      <c r="Y20" s="228">
        <f t="shared" si="12"/>
        <v>0</v>
      </c>
      <c r="Z20" s="229">
        <f>SUM(Z21:Z32)</f>
        <v>3</v>
      </c>
      <c r="AA20" s="228">
        <f t="shared" si="13"/>
        <v>0.13636363636363635</v>
      </c>
      <c r="AB20" s="230">
        <f t="shared" si="16"/>
        <v>22</v>
      </c>
    </row>
    <row r="21" spans="1:28" x14ac:dyDescent="0.25">
      <c r="A21" s="222" t="s">
        <v>478</v>
      </c>
      <c r="B21" s="223">
        <v>1246</v>
      </c>
      <c r="C21" s="224">
        <f t="shared" si="1"/>
        <v>0.93613824192336592</v>
      </c>
      <c r="D21" s="225">
        <v>0</v>
      </c>
      <c r="E21" s="224">
        <f t="shared" si="2"/>
        <v>0</v>
      </c>
      <c r="F21" s="225">
        <v>73</v>
      </c>
      <c r="G21" s="224">
        <f t="shared" si="3"/>
        <v>5.4845980465815174E-2</v>
      </c>
      <c r="H21" s="225">
        <v>12</v>
      </c>
      <c r="I21" s="224">
        <f t="shared" si="4"/>
        <v>9.0157776108189328E-3</v>
      </c>
      <c r="J21" s="226">
        <f t="shared" si="5"/>
        <v>1331</v>
      </c>
      <c r="K21" s="223">
        <v>0</v>
      </c>
      <c r="L21" s="224">
        <f t="shared" si="6"/>
        <v>0</v>
      </c>
      <c r="M21" s="225">
        <v>0</v>
      </c>
      <c r="N21" s="224">
        <f t="shared" si="7"/>
        <v>0</v>
      </c>
      <c r="O21" s="225">
        <v>398</v>
      </c>
      <c r="P21" s="224">
        <f t="shared" si="8"/>
        <v>1</v>
      </c>
      <c r="Q21" s="225">
        <v>0</v>
      </c>
      <c r="R21" s="224">
        <f t="shared" si="9"/>
        <v>0</v>
      </c>
      <c r="S21" s="226">
        <f t="shared" si="10"/>
        <v>398</v>
      </c>
      <c r="T21" s="223">
        <v>0</v>
      </c>
      <c r="U21" s="224">
        <v>0</v>
      </c>
      <c r="V21" s="225">
        <v>0</v>
      </c>
      <c r="W21" s="224">
        <v>0</v>
      </c>
      <c r="X21" s="225">
        <v>0</v>
      </c>
      <c r="Y21" s="224">
        <v>0</v>
      </c>
      <c r="Z21" s="225">
        <v>0</v>
      </c>
      <c r="AA21" s="224">
        <v>0</v>
      </c>
      <c r="AB21" s="226">
        <f t="shared" si="16"/>
        <v>0</v>
      </c>
    </row>
    <row r="22" spans="1:28" x14ac:dyDescent="0.25">
      <c r="A22" s="222" t="s">
        <v>479</v>
      </c>
      <c r="B22" s="223">
        <v>0</v>
      </c>
      <c r="C22" s="224">
        <f t="shared" si="1"/>
        <v>0</v>
      </c>
      <c r="D22" s="225">
        <v>0</v>
      </c>
      <c r="E22" s="224">
        <f t="shared" si="2"/>
        <v>0</v>
      </c>
      <c r="F22" s="225">
        <v>0</v>
      </c>
      <c r="G22" s="224">
        <f t="shared" si="3"/>
        <v>0</v>
      </c>
      <c r="H22" s="225">
        <v>1</v>
      </c>
      <c r="I22" s="224">
        <f t="shared" si="4"/>
        <v>1</v>
      </c>
      <c r="J22" s="226">
        <f t="shared" si="5"/>
        <v>1</v>
      </c>
      <c r="K22" s="223">
        <v>0</v>
      </c>
      <c r="L22" s="224">
        <v>0</v>
      </c>
      <c r="M22" s="225">
        <v>0</v>
      </c>
      <c r="N22" s="224">
        <v>0</v>
      </c>
      <c r="O22" s="225">
        <v>0</v>
      </c>
      <c r="P22" s="224">
        <v>0</v>
      </c>
      <c r="Q22" s="225">
        <v>0</v>
      </c>
      <c r="R22" s="224">
        <v>0</v>
      </c>
      <c r="S22" s="226">
        <f t="shared" si="10"/>
        <v>0</v>
      </c>
      <c r="T22" s="223">
        <v>0</v>
      </c>
      <c r="U22" s="224">
        <v>0</v>
      </c>
      <c r="V22" s="225">
        <v>0</v>
      </c>
      <c r="W22" s="224">
        <v>0</v>
      </c>
      <c r="X22" s="225">
        <v>0</v>
      </c>
      <c r="Y22" s="224">
        <v>0</v>
      </c>
      <c r="Z22" s="225">
        <v>0</v>
      </c>
      <c r="AA22" s="224">
        <v>0</v>
      </c>
      <c r="AB22" s="226">
        <f t="shared" si="16"/>
        <v>0</v>
      </c>
    </row>
    <row r="23" spans="1:28" x14ac:dyDescent="0.25">
      <c r="A23" s="222" t="s">
        <v>480</v>
      </c>
      <c r="B23" s="223">
        <v>1630</v>
      </c>
      <c r="C23" s="224">
        <f t="shared" si="1"/>
        <v>0.95210280373831779</v>
      </c>
      <c r="D23" s="225">
        <v>0</v>
      </c>
      <c r="E23" s="224">
        <f t="shared" si="2"/>
        <v>0</v>
      </c>
      <c r="F23" s="225">
        <v>59</v>
      </c>
      <c r="G23" s="224">
        <f t="shared" si="3"/>
        <v>3.4462616822429903E-2</v>
      </c>
      <c r="H23" s="225">
        <v>23</v>
      </c>
      <c r="I23" s="224">
        <f t="shared" si="4"/>
        <v>1.3434579439252336E-2</v>
      </c>
      <c r="J23" s="226">
        <f t="shared" si="5"/>
        <v>1712</v>
      </c>
      <c r="K23" s="223">
        <v>0</v>
      </c>
      <c r="L23" s="224">
        <f t="shared" si="6"/>
        <v>0</v>
      </c>
      <c r="M23" s="225">
        <v>0</v>
      </c>
      <c r="N23" s="224">
        <f t="shared" si="7"/>
        <v>0</v>
      </c>
      <c r="O23" s="225">
        <v>352</v>
      </c>
      <c r="P23" s="224">
        <f t="shared" si="8"/>
        <v>1</v>
      </c>
      <c r="Q23" s="225">
        <v>0</v>
      </c>
      <c r="R23" s="224">
        <f t="shared" si="9"/>
        <v>0</v>
      </c>
      <c r="S23" s="226">
        <f t="shared" si="10"/>
        <v>352</v>
      </c>
      <c r="T23" s="223">
        <v>7</v>
      </c>
      <c r="U23" s="224">
        <f t="shared" si="11"/>
        <v>0.7</v>
      </c>
      <c r="V23" s="225">
        <v>0</v>
      </c>
      <c r="W23" s="224">
        <f t="shared" si="0"/>
        <v>0</v>
      </c>
      <c r="X23" s="225">
        <v>0</v>
      </c>
      <c r="Y23" s="224">
        <f t="shared" si="12"/>
        <v>0</v>
      </c>
      <c r="Z23" s="225">
        <v>3</v>
      </c>
      <c r="AA23" s="224">
        <f t="shared" si="13"/>
        <v>0.3</v>
      </c>
      <c r="AB23" s="226">
        <f t="shared" si="16"/>
        <v>10</v>
      </c>
    </row>
    <row r="24" spans="1:28" x14ac:dyDescent="0.25">
      <c r="A24" s="222" t="s">
        <v>434</v>
      </c>
      <c r="B24" s="223">
        <v>475</v>
      </c>
      <c r="C24" s="224">
        <f t="shared" ref="C24:C29" si="17">B24/J24</f>
        <v>0.97535934291581106</v>
      </c>
      <c r="D24" s="225">
        <v>0</v>
      </c>
      <c r="E24" s="224">
        <f t="shared" ref="E24:E29" si="18">D24/J24</f>
        <v>0</v>
      </c>
      <c r="F24" s="225">
        <v>10</v>
      </c>
      <c r="G24" s="224">
        <f t="shared" ref="G24:G29" si="19">F24/J24</f>
        <v>2.0533880903490759E-2</v>
      </c>
      <c r="H24" s="225">
        <v>2</v>
      </c>
      <c r="I24" s="224">
        <f t="shared" ref="I24:I29" si="20">H24/J24</f>
        <v>4.1067761806981521E-3</v>
      </c>
      <c r="J24" s="226">
        <f t="shared" ref="J24:J29" si="21">B24+D24+F24+H24</f>
        <v>487</v>
      </c>
      <c r="K24" s="223">
        <v>148</v>
      </c>
      <c r="L24" s="224">
        <f>K24/S24</f>
        <v>1</v>
      </c>
      <c r="M24" s="225">
        <v>0</v>
      </c>
      <c r="N24" s="224">
        <f>M24/S24</f>
        <v>0</v>
      </c>
      <c r="O24" s="225">
        <v>0</v>
      </c>
      <c r="P24" s="224">
        <f>O24/S24</f>
        <v>0</v>
      </c>
      <c r="Q24" s="225">
        <v>0</v>
      </c>
      <c r="R24" s="224">
        <f>Q24/S24</f>
        <v>0</v>
      </c>
      <c r="S24" s="226">
        <f t="shared" ref="S24:S29" si="22">K24+M24+O24+Q24</f>
        <v>148</v>
      </c>
      <c r="T24" s="223">
        <v>12</v>
      </c>
      <c r="U24" s="224">
        <f>T24/AB24</f>
        <v>1</v>
      </c>
      <c r="V24" s="225">
        <v>0</v>
      </c>
      <c r="W24" s="224">
        <f>V24/AB24</f>
        <v>0</v>
      </c>
      <c r="X24" s="225">
        <v>0</v>
      </c>
      <c r="Y24" s="224">
        <f>X24/AB24</f>
        <v>0</v>
      </c>
      <c r="Z24" s="225">
        <v>0</v>
      </c>
      <c r="AA24" s="224">
        <f>Z24/AB24</f>
        <v>0</v>
      </c>
      <c r="AB24" s="226">
        <f t="shared" ref="AB24:AB29" si="23">T24+V24+X24+Z24</f>
        <v>12</v>
      </c>
    </row>
    <row r="25" spans="1:28" x14ac:dyDescent="0.25">
      <c r="A25" s="222" t="s">
        <v>422</v>
      </c>
      <c r="B25" s="223">
        <v>32</v>
      </c>
      <c r="C25" s="224">
        <f t="shared" si="17"/>
        <v>0.86486486486486491</v>
      </c>
      <c r="D25" s="225">
        <v>0</v>
      </c>
      <c r="E25" s="224">
        <f t="shared" si="18"/>
        <v>0</v>
      </c>
      <c r="F25" s="225">
        <v>0</v>
      </c>
      <c r="G25" s="224">
        <f t="shared" si="19"/>
        <v>0</v>
      </c>
      <c r="H25" s="225">
        <v>5</v>
      </c>
      <c r="I25" s="224">
        <f t="shared" si="20"/>
        <v>0.13513513513513514</v>
      </c>
      <c r="J25" s="226">
        <f t="shared" si="21"/>
        <v>37</v>
      </c>
      <c r="K25" s="223">
        <v>0</v>
      </c>
      <c r="L25" s="224">
        <v>0</v>
      </c>
      <c r="M25" s="225">
        <v>0</v>
      </c>
      <c r="N25" s="224">
        <v>0</v>
      </c>
      <c r="O25" s="225">
        <v>0</v>
      </c>
      <c r="P25" s="224">
        <v>0</v>
      </c>
      <c r="Q25" s="225">
        <v>0</v>
      </c>
      <c r="R25" s="224">
        <v>0</v>
      </c>
      <c r="S25" s="226">
        <f t="shared" si="22"/>
        <v>0</v>
      </c>
      <c r="T25" s="223">
        <v>0</v>
      </c>
      <c r="U25" s="224">
        <v>0</v>
      </c>
      <c r="V25" s="225">
        <v>0</v>
      </c>
      <c r="W25" s="224">
        <v>0</v>
      </c>
      <c r="X25" s="225">
        <v>0</v>
      </c>
      <c r="Y25" s="224">
        <v>0</v>
      </c>
      <c r="Z25" s="225">
        <v>0</v>
      </c>
      <c r="AA25" s="224">
        <v>0</v>
      </c>
      <c r="AB25" s="226">
        <f t="shared" si="23"/>
        <v>0</v>
      </c>
    </row>
    <row r="26" spans="1:28" x14ac:dyDescent="0.25">
      <c r="A26" s="222" t="s">
        <v>435</v>
      </c>
      <c r="B26" s="223">
        <v>1</v>
      </c>
      <c r="C26" s="224">
        <f t="shared" si="17"/>
        <v>1</v>
      </c>
      <c r="D26" s="225">
        <v>0</v>
      </c>
      <c r="E26" s="224">
        <f t="shared" si="18"/>
        <v>0</v>
      </c>
      <c r="F26" s="225">
        <v>0</v>
      </c>
      <c r="G26" s="224">
        <f t="shared" si="19"/>
        <v>0</v>
      </c>
      <c r="H26" s="225">
        <v>0</v>
      </c>
      <c r="I26" s="224">
        <f t="shared" si="20"/>
        <v>0</v>
      </c>
      <c r="J26" s="226">
        <f t="shared" si="21"/>
        <v>1</v>
      </c>
      <c r="K26" s="223">
        <v>0</v>
      </c>
      <c r="L26" s="224">
        <f>K26/S26</f>
        <v>0</v>
      </c>
      <c r="M26" s="225">
        <v>0</v>
      </c>
      <c r="N26" s="224">
        <f>M26/S26</f>
        <v>0</v>
      </c>
      <c r="O26" s="225">
        <v>20</v>
      </c>
      <c r="P26" s="224">
        <f>O26/S26</f>
        <v>1</v>
      </c>
      <c r="Q26" s="225">
        <v>0</v>
      </c>
      <c r="R26" s="224">
        <f>Q26/S26</f>
        <v>0</v>
      </c>
      <c r="S26" s="226">
        <f t="shared" si="22"/>
        <v>20</v>
      </c>
      <c r="T26" s="223">
        <v>0</v>
      </c>
      <c r="U26" s="224">
        <v>0</v>
      </c>
      <c r="V26" s="225">
        <v>0</v>
      </c>
      <c r="W26" s="224">
        <v>0</v>
      </c>
      <c r="X26" s="225">
        <v>0</v>
      </c>
      <c r="Y26" s="224">
        <v>0</v>
      </c>
      <c r="Z26" s="225">
        <v>0</v>
      </c>
      <c r="AA26" s="224">
        <v>0</v>
      </c>
      <c r="AB26" s="226">
        <f t="shared" si="23"/>
        <v>0</v>
      </c>
    </row>
    <row r="27" spans="1:28" x14ac:dyDescent="0.25">
      <c r="A27" s="222" t="s">
        <v>481</v>
      </c>
      <c r="B27" s="223">
        <v>74</v>
      </c>
      <c r="C27" s="224">
        <f t="shared" si="17"/>
        <v>0.88095238095238093</v>
      </c>
      <c r="D27" s="225">
        <v>0</v>
      </c>
      <c r="E27" s="224">
        <f t="shared" si="18"/>
        <v>0</v>
      </c>
      <c r="F27" s="225">
        <v>6</v>
      </c>
      <c r="G27" s="224">
        <f t="shared" si="19"/>
        <v>7.1428571428571425E-2</v>
      </c>
      <c r="H27" s="225">
        <v>4</v>
      </c>
      <c r="I27" s="224">
        <f t="shared" si="20"/>
        <v>4.7619047619047616E-2</v>
      </c>
      <c r="J27" s="226">
        <f t="shared" si="21"/>
        <v>84</v>
      </c>
      <c r="K27" s="223">
        <v>0</v>
      </c>
      <c r="L27" s="224">
        <v>0</v>
      </c>
      <c r="M27" s="225">
        <v>0</v>
      </c>
      <c r="N27" s="224">
        <v>0</v>
      </c>
      <c r="O27" s="225">
        <v>0</v>
      </c>
      <c r="P27" s="224">
        <v>0</v>
      </c>
      <c r="Q27" s="225">
        <v>0</v>
      </c>
      <c r="R27" s="224">
        <v>0</v>
      </c>
      <c r="S27" s="226">
        <f t="shared" si="22"/>
        <v>0</v>
      </c>
      <c r="T27" s="223">
        <v>0</v>
      </c>
      <c r="U27" s="224">
        <v>0</v>
      </c>
      <c r="V27" s="225">
        <v>0</v>
      </c>
      <c r="W27" s="224">
        <v>0</v>
      </c>
      <c r="X27" s="225">
        <v>0</v>
      </c>
      <c r="Y27" s="224">
        <v>0</v>
      </c>
      <c r="Z27" s="225">
        <v>0</v>
      </c>
      <c r="AA27" s="224">
        <v>0</v>
      </c>
      <c r="AB27" s="226">
        <f t="shared" si="23"/>
        <v>0</v>
      </c>
    </row>
    <row r="28" spans="1:28" x14ac:dyDescent="0.25">
      <c r="A28" s="222" t="s">
        <v>436</v>
      </c>
      <c r="B28" s="223">
        <v>58</v>
      </c>
      <c r="C28" s="224">
        <f t="shared" si="17"/>
        <v>0.71604938271604934</v>
      </c>
      <c r="D28" s="225">
        <v>0</v>
      </c>
      <c r="E28" s="224">
        <f t="shared" si="18"/>
        <v>0</v>
      </c>
      <c r="F28" s="225">
        <v>7</v>
      </c>
      <c r="G28" s="224">
        <f t="shared" si="19"/>
        <v>8.6419753086419748E-2</v>
      </c>
      <c r="H28" s="225">
        <v>16</v>
      </c>
      <c r="I28" s="224">
        <f t="shared" si="20"/>
        <v>0.19753086419753085</v>
      </c>
      <c r="J28" s="226">
        <f t="shared" si="21"/>
        <v>81</v>
      </c>
      <c r="K28" s="223">
        <v>0</v>
      </c>
      <c r="L28" s="224">
        <v>0</v>
      </c>
      <c r="M28" s="225">
        <v>0</v>
      </c>
      <c r="N28" s="224">
        <v>0</v>
      </c>
      <c r="O28" s="225">
        <v>0</v>
      </c>
      <c r="P28" s="224">
        <v>0</v>
      </c>
      <c r="Q28" s="225">
        <v>0</v>
      </c>
      <c r="R28" s="224">
        <v>0</v>
      </c>
      <c r="S28" s="226">
        <f t="shared" si="22"/>
        <v>0</v>
      </c>
      <c r="T28" s="223">
        <v>0</v>
      </c>
      <c r="U28" s="224">
        <v>0</v>
      </c>
      <c r="V28" s="225">
        <v>0</v>
      </c>
      <c r="W28" s="224">
        <v>0</v>
      </c>
      <c r="X28" s="225">
        <v>0</v>
      </c>
      <c r="Y28" s="224">
        <v>0</v>
      </c>
      <c r="Z28" s="225">
        <v>0</v>
      </c>
      <c r="AA28" s="224">
        <v>0</v>
      </c>
      <c r="AB28" s="226">
        <f t="shared" si="23"/>
        <v>0</v>
      </c>
    </row>
    <row r="29" spans="1:28" x14ac:dyDescent="0.25">
      <c r="A29" s="222" t="s">
        <v>438</v>
      </c>
      <c r="B29" s="223">
        <v>55</v>
      </c>
      <c r="C29" s="224">
        <f t="shared" si="17"/>
        <v>1</v>
      </c>
      <c r="D29" s="225">
        <v>0</v>
      </c>
      <c r="E29" s="224">
        <f t="shared" si="18"/>
        <v>0</v>
      </c>
      <c r="F29" s="225">
        <v>0</v>
      </c>
      <c r="G29" s="224">
        <f t="shared" si="19"/>
        <v>0</v>
      </c>
      <c r="H29" s="225">
        <v>0</v>
      </c>
      <c r="I29" s="224">
        <f t="shared" si="20"/>
        <v>0</v>
      </c>
      <c r="J29" s="226">
        <f t="shared" si="21"/>
        <v>55</v>
      </c>
      <c r="K29" s="223"/>
      <c r="L29" s="224">
        <f>K29/S29</f>
        <v>0</v>
      </c>
      <c r="M29" s="225">
        <v>0</v>
      </c>
      <c r="N29" s="224">
        <f>M29/S29</f>
        <v>0</v>
      </c>
      <c r="O29" s="225">
        <v>89</v>
      </c>
      <c r="P29" s="224">
        <f>O29/S29</f>
        <v>1</v>
      </c>
      <c r="Q29" s="225">
        <v>0</v>
      </c>
      <c r="R29" s="224">
        <f>Q29/S29</f>
        <v>0</v>
      </c>
      <c r="S29" s="226">
        <f t="shared" si="22"/>
        <v>89</v>
      </c>
      <c r="T29" s="223">
        <v>0</v>
      </c>
      <c r="U29" s="224">
        <v>0</v>
      </c>
      <c r="V29" s="225">
        <v>0</v>
      </c>
      <c r="W29" s="224">
        <v>0</v>
      </c>
      <c r="X29" s="225">
        <v>0</v>
      </c>
      <c r="Y29" s="224">
        <v>0</v>
      </c>
      <c r="Z29" s="225">
        <v>0</v>
      </c>
      <c r="AA29" s="224">
        <v>0</v>
      </c>
      <c r="AB29" s="226">
        <f t="shared" si="23"/>
        <v>0</v>
      </c>
    </row>
    <row r="30" spans="1:28" x14ac:dyDescent="0.25">
      <c r="A30" s="222" t="s">
        <v>427</v>
      </c>
      <c r="B30" s="223">
        <v>46</v>
      </c>
      <c r="C30" s="224">
        <f t="shared" si="1"/>
        <v>1</v>
      </c>
      <c r="D30" s="225">
        <v>0</v>
      </c>
      <c r="E30" s="224">
        <f t="shared" si="2"/>
        <v>0</v>
      </c>
      <c r="F30" s="225">
        <v>0</v>
      </c>
      <c r="G30" s="224">
        <f t="shared" si="3"/>
        <v>0</v>
      </c>
      <c r="H30" s="225">
        <v>0</v>
      </c>
      <c r="I30" s="224">
        <f t="shared" si="4"/>
        <v>0</v>
      </c>
      <c r="J30" s="226">
        <f t="shared" si="5"/>
        <v>46</v>
      </c>
      <c r="K30" s="223">
        <v>0</v>
      </c>
      <c r="L30" s="224">
        <f t="shared" si="6"/>
        <v>0</v>
      </c>
      <c r="M30" s="225">
        <v>0</v>
      </c>
      <c r="N30" s="224">
        <f t="shared" si="7"/>
        <v>0</v>
      </c>
      <c r="O30" s="225">
        <v>27</v>
      </c>
      <c r="P30" s="224">
        <f t="shared" si="8"/>
        <v>1</v>
      </c>
      <c r="Q30" s="225">
        <v>0</v>
      </c>
      <c r="R30" s="224">
        <f t="shared" si="9"/>
        <v>0</v>
      </c>
      <c r="S30" s="226">
        <f t="shared" si="10"/>
        <v>27</v>
      </c>
      <c r="T30" s="223">
        <v>0</v>
      </c>
      <c r="U30" s="224">
        <v>0</v>
      </c>
      <c r="V30" s="225">
        <v>0</v>
      </c>
      <c r="W30" s="224">
        <v>0</v>
      </c>
      <c r="X30" s="225">
        <v>0</v>
      </c>
      <c r="Y30" s="224">
        <v>0</v>
      </c>
      <c r="Z30" s="225">
        <v>0</v>
      </c>
      <c r="AA30" s="224">
        <v>0</v>
      </c>
      <c r="AB30" s="226">
        <f t="shared" si="16"/>
        <v>0</v>
      </c>
    </row>
    <row r="31" spans="1:28" x14ac:dyDescent="0.25">
      <c r="A31" s="222" t="s">
        <v>482</v>
      </c>
      <c r="B31" s="223">
        <v>3</v>
      </c>
      <c r="C31" s="224">
        <f t="shared" si="1"/>
        <v>0.27272727272727271</v>
      </c>
      <c r="D31" s="225">
        <v>8</v>
      </c>
      <c r="E31" s="224">
        <f t="shared" si="2"/>
        <v>0.72727272727272729</v>
      </c>
      <c r="F31" s="225">
        <v>0</v>
      </c>
      <c r="G31" s="224">
        <f t="shared" si="3"/>
        <v>0</v>
      </c>
      <c r="H31" s="225">
        <v>0</v>
      </c>
      <c r="I31" s="224">
        <f t="shared" si="4"/>
        <v>0</v>
      </c>
      <c r="J31" s="226">
        <f t="shared" si="5"/>
        <v>11</v>
      </c>
      <c r="K31" s="223">
        <v>0</v>
      </c>
      <c r="L31" s="224">
        <f t="shared" si="6"/>
        <v>0</v>
      </c>
      <c r="M31" s="225">
        <v>0</v>
      </c>
      <c r="N31" s="224">
        <f t="shared" si="7"/>
        <v>0</v>
      </c>
      <c r="O31" s="225">
        <v>1</v>
      </c>
      <c r="P31" s="224">
        <f t="shared" si="8"/>
        <v>1</v>
      </c>
      <c r="Q31" s="225">
        <v>0</v>
      </c>
      <c r="R31" s="224">
        <f t="shared" si="9"/>
        <v>0</v>
      </c>
      <c r="S31" s="226">
        <f t="shared" si="10"/>
        <v>1</v>
      </c>
      <c r="T31" s="223">
        <v>0</v>
      </c>
      <c r="U31" s="224">
        <v>0</v>
      </c>
      <c r="V31" s="225">
        <v>0</v>
      </c>
      <c r="W31" s="224">
        <v>0</v>
      </c>
      <c r="X31" s="225">
        <v>0</v>
      </c>
      <c r="Y31" s="224">
        <v>0</v>
      </c>
      <c r="Z31" s="225">
        <v>0</v>
      </c>
      <c r="AA31" s="224">
        <v>0</v>
      </c>
      <c r="AB31" s="226">
        <f t="shared" si="16"/>
        <v>0</v>
      </c>
    </row>
    <row r="32" spans="1:28" x14ac:dyDescent="0.25">
      <c r="A32" s="222" t="s">
        <v>439</v>
      </c>
      <c r="B32" s="223">
        <v>32</v>
      </c>
      <c r="C32" s="224">
        <f t="shared" si="1"/>
        <v>0.94117647058823528</v>
      </c>
      <c r="D32" s="225">
        <v>0</v>
      </c>
      <c r="E32" s="224">
        <f t="shared" si="2"/>
        <v>0</v>
      </c>
      <c r="F32" s="225">
        <v>2</v>
      </c>
      <c r="G32" s="224">
        <f t="shared" si="3"/>
        <v>5.8823529411764705E-2</v>
      </c>
      <c r="H32" s="225">
        <v>0</v>
      </c>
      <c r="I32" s="224">
        <f t="shared" si="4"/>
        <v>0</v>
      </c>
      <c r="J32" s="226">
        <f t="shared" si="5"/>
        <v>34</v>
      </c>
      <c r="K32" s="223">
        <v>0</v>
      </c>
      <c r="L32" s="224">
        <v>0</v>
      </c>
      <c r="M32" s="225">
        <v>0</v>
      </c>
      <c r="N32" s="224">
        <v>0</v>
      </c>
      <c r="O32" s="225">
        <v>0</v>
      </c>
      <c r="P32" s="224">
        <v>0</v>
      </c>
      <c r="Q32" s="225">
        <v>0</v>
      </c>
      <c r="R32" s="224">
        <v>0</v>
      </c>
      <c r="S32" s="226">
        <f t="shared" si="10"/>
        <v>0</v>
      </c>
      <c r="T32" s="223">
        <v>0</v>
      </c>
      <c r="U32" s="224">
        <v>0</v>
      </c>
      <c r="V32" s="225">
        <v>0</v>
      </c>
      <c r="W32" s="224">
        <v>0</v>
      </c>
      <c r="X32" s="225">
        <v>0</v>
      </c>
      <c r="Y32" s="224">
        <v>0</v>
      </c>
      <c r="Z32" s="225">
        <v>0</v>
      </c>
      <c r="AA32" s="224">
        <v>0</v>
      </c>
      <c r="AB32" s="226">
        <f t="shared" si="16"/>
        <v>0</v>
      </c>
    </row>
    <row r="33" spans="1:28" x14ac:dyDescent="0.25">
      <c r="A33" s="217" t="s">
        <v>440</v>
      </c>
      <c r="B33" s="227">
        <f>B34</f>
        <v>773</v>
      </c>
      <c r="C33" s="228">
        <f t="shared" si="1"/>
        <v>0.3712776176753122</v>
      </c>
      <c r="D33" s="229">
        <f>D34</f>
        <v>480</v>
      </c>
      <c r="E33" s="228">
        <f t="shared" si="2"/>
        <v>0.23054755043227665</v>
      </c>
      <c r="F33" s="229">
        <f>F34</f>
        <v>738</v>
      </c>
      <c r="G33" s="228">
        <f t="shared" si="3"/>
        <v>0.35446685878962536</v>
      </c>
      <c r="H33" s="229">
        <f>H34</f>
        <v>91</v>
      </c>
      <c r="I33" s="228">
        <f t="shared" si="4"/>
        <v>4.3707973102785784E-2</v>
      </c>
      <c r="J33" s="230">
        <f t="shared" si="5"/>
        <v>2082</v>
      </c>
      <c r="K33" s="227">
        <f>K34</f>
        <v>1295</v>
      </c>
      <c r="L33" s="228">
        <f t="shared" si="6"/>
        <v>0.45711260148252736</v>
      </c>
      <c r="M33" s="229">
        <f>M34</f>
        <v>542</v>
      </c>
      <c r="N33" s="228">
        <f t="shared" si="7"/>
        <v>0.19131662548535122</v>
      </c>
      <c r="O33" s="229">
        <f>O34</f>
        <v>878</v>
      </c>
      <c r="P33" s="228">
        <f t="shared" si="8"/>
        <v>0.30991881397811505</v>
      </c>
      <c r="Q33" s="229">
        <f>Q34</f>
        <v>118</v>
      </c>
      <c r="R33" s="228">
        <f t="shared" si="9"/>
        <v>4.165195905400635E-2</v>
      </c>
      <c r="S33" s="230">
        <f t="shared" si="10"/>
        <v>2833</v>
      </c>
      <c r="T33" s="227">
        <f>T34</f>
        <v>1</v>
      </c>
      <c r="U33" s="228">
        <f t="shared" si="11"/>
        <v>5.8823529411764705E-2</v>
      </c>
      <c r="V33" s="229">
        <f>V34</f>
        <v>0</v>
      </c>
      <c r="W33" s="228">
        <f t="shared" si="0"/>
        <v>0</v>
      </c>
      <c r="X33" s="229">
        <f>X34</f>
        <v>10</v>
      </c>
      <c r="Y33" s="228">
        <f t="shared" si="12"/>
        <v>0.58823529411764708</v>
      </c>
      <c r="Z33" s="229">
        <f>Z34</f>
        <v>6</v>
      </c>
      <c r="AA33" s="228">
        <f t="shared" si="13"/>
        <v>0.35294117647058826</v>
      </c>
      <c r="AB33" s="230">
        <f t="shared" si="16"/>
        <v>17</v>
      </c>
    </row>
    <row r="34" spans="1:28" x14ac:dyDescent="0.25">
      <c r="A34" s="222" t="s">
        <v>441</v>
      </c>
      <c r="B34" s="223">
        <v>773</v>
      </c>
      <c r="C34" s="224">
        <f t="shared" si="1"/>
        <v>0.3712776176753122</v>
      </c>
      <c r="D34" s="225">
        <v>480</v>
      </c>
      <c r="E34" s="224">
        <f t="shared" si="2"/>
        <v>0.23054755043227665</v>
      </c>
      <c r="F34" s="225">
        <v>738</v>
      </c>
      <c r="G34" s="224">
        <f t="shared" si="3"/>
        <v>0.35446685878962536</v>
      </c>
      <c r="H34" s="225">
        <v>91</v>
      </c>
      <c r="I34" s="224">
        <f t="shared" si="4"/>
        <v>4.3707973102785784E-2</v>
      </c>
      <c r="J34" s="226">
        <f t="shared" si="5"/>
        <v>2082</v>
      </c>
      <c r="K34" s="223">
        <v>1295</v>
      </c>
      <c r="L34" s="224">
        <f t="shared" si="6"/>
        <v>0.45711260148252736</v>
      </c>
      <c r="M34" s="225">
        <v>542</v>
      </c>
      <c r="N34" s="224">
        <f t="shared" si="7"/>
        <v>0.19131662548535122</v>
      </c>
      <c r="O34" s="225">
        <v>878</v>
      </c>
      <c r="P34" s="224">
        <f t="shared" si="8"/>
        <v>0.30991881397811505</v>
      </c>
      <c r="Q34" s="225">
        <v>118</v>
      </c>
      <c r="R34" s="224">
        <f t="shared" si="9"/>
        <v>4.165195905400635E-2</v>
      </c>
      <c r="S34" s="226">
        <f t="shared" si="10"/>
        <v>2833</v>
      </c>
      <c r="T34" s="223">
        <v>1</v>
      </c>
      <c r="U34" s="224">
        <f t="shared" si="11"/>
        <v>5.8823529411764705E-2</v>
      </c>
      <c r="V34" s="225">
        <v>0</v>
      </c>
      <c r="W34" s="224">
        <f t="shared" si="0"/>
        <v>0</v>
      </c>
      <c r="X34" s="225">
        <v>10</v>
      </c>
      <c r="Y34" s="224">
        <f t="shared" si="12"/>
        <v>0.58823529411764708</v>
      </c>
      <c r="Z34" s="225">
        <v>6</v>
      </c>
      <c r="AA34" s="224">
        <f t="shared" si="13"/>
        <v>0.35294117647058826</v>
      </c>
      <c r="AB34" s="226">
        <f t="shared" si="16"/>
        <v>17</v>
      </c>
    </row>
    <row r="35" spans="1:28" x14ac:dyDescent="0.25">
      <c r="A35" s="217" t="s">
        <v>442</v>
      </c>
      <c r="B35" s="227">
        <f>SUM(B36:B39)</f>
        <v>166</v>
      </c>
      <c r="C35" s="228">
        <f t="shared" si="1"/>
        <v>0.13081166272655634</v>
      </c>
      <c r="D35" s="229">
        <f>SUM(D36:D39)</f>
        <v>361</v>
      </c>
      <c r="E35" s="228">
        <f t="shared" si="2"/>
        <v>0.28447596532702918</v>
      </c>
      <c r="F35" s="229">
        <f>SUM(F36:F39)</f>
        <v>739</v>
      </c>
      <c r="G35" s="228">
        <f t="shared" si="3"/>
        <v>0.58234830575256102</v>
      </c>
      <c r="H35" s="229">
        <f>SUM(H36:H39)</f>
        <v>3</v>
      </c>
      <c r="I35" s="228">
        <f t="shared" si="4"/>
        <v>2.3640661938534278E-3</v>
      </c>
      <c r="J35" s="230">
        <f t="shared" si="5"/>
        <v>1269</v>
      </c>
      <c r="K35" s="227">
        <f>SUM(K36:K39)</f>
        <v>662</v>
      </c>
      <c r="L35" s="228">
        <f t="shared" si="6"/>
        <v>0.400726392251816</v>
      </c>
      <c r="M35" s="229">
        <f>SUM(M36:M39)</f>
        <v>491</v>
      </c>
      <c r="N35" s="228">
        <f t="shared" si="7"/>
        <v>0.29721549636803873</v>
      </c>
      <c r="O35" s="229">
        <f>SUM(O36:O39)</f>
        <v>499</v>
      </c>
      <c r="P35" s="228">
        <f t="shared" si="8"/>
        <v>0.30205811138014527</v>
      </c>
      <c r="Q35" s="229">
        <f>SUM(Q38:Q39)</f>
        <v>0</v>
      </c>
      <c r="R35" s="228">
        <f t="shared" si="9"/>
        <v>0</v>
      </c>
      <c r="S35" s="230">
        <f t="shared" si="10"/>
        <v>1652</v>
      </c>
      <c r="T35" s="227">
        <f>SUM(T38:T39)</f>
        <v>0</v>
      </c>
      <c r="U35" s="228">
        <f t="shared" si="11"/>
        <v>0</v>
      </c>
      <c r="V35" s="229">
        <f>SUM(V36:V39)</f>
        <v>8</v>
      </c>
      <c r="W35" s="228">
        <f>V35/AB35</f>
        <v>0.2857142857142857</v>
      </c>
      <c r="X35" s="229">
        <f>SUM(X36:X39)</f>
        <v>18</v>
      </c>
      <c r="Y35" s="228">
        <f t="shared" si="12"/>
        <v>0.6428571428571429</v>
      </c>
      <c r="Z35" s="229">
        <f>SUM(Z36:Z39)</f>
        <v>2</v>
      </c>
      <c r="AA35" s="228">
        <f t="shared" si="13"/>
        <v>7.1428571428571425E-2</v>
      </c>
      <c r="AB35" s="230">
        <f t="shared" si="16"/>
        <v>28</v>
      </c>
    </row>
    <row r="36" spans="1:28" x14ac:dyDescent="0.25">
      <c r="A36" s="222" t="s">
        <v>443</v>
      </c>
      <c r="B36" s="223">
        <v>125</v>
      </c>
      <c r="C36" s="224">
        <f>B36/J36</f>
        <v>0.16339869281045752</v>
      </c>
      <c r="D36" s="225">
        <v>212</v>
      </c>
      <c r="E36" s="224">
        <f>D36/J36</f>
        <v>0.27712418300653596</v>
      </c>
      <c r="F36" s="225">
        <v>427</v>
      </c>
      <c r="G36" s="224">
        <f>F36/J36</f>
        <v>0.55816993464052289</v>
      </c>
      <c r="H36" s="225">
        <v>1</v>
      </c>
      <c r="I36" s="224">
        <f>H36/J36</f>
        <v>1.30718954248366E-3</v>
      </c>
      <c r="J36" s="226">
        <f>B36+D36+F36+H36</f>
        <v>765</v>
      </c>
      <c r="K36" s="223">
        <v>442</v>
      </c>
      <c r="L36" s="224">
        <f>K36/S36</f>
        <v>0.43892750744786496</v>
      </c>
      <c r="M36" s="225">
        <v>303</v>
      </c>
      <c r="N36" s="224">
        <f>M36/S36</f>
        <v>0.30089374379344586</v>
      </c>
      <c r="O36" s="225">
        <v>262</v>
      </c>
      <c r="P36" s="224">
        <f>O36/S36</f>
        <v>0.26017874875868918</v>
      </c>
      <c r="Q36" s="225">
        <v>0</v>
      </c>
      <c r="R36" s="224">
        <f>Q36/S36</f>
        <v>0</v>
      </c>
      <c r="S36" s="226">
        <f>K36+M36+O36+Q36</f>
        <v>1007</v>
      </c>
      <c r="T36" s="223">
        <v>0</v>
      </c>
      <c r="U36" s="224">
        <f>T36/AB36</f>
        <v>0</v>
      </c>
      <c r="V36" s="225">
        <v>2</v>
      </c>
      <c r="W36" s="224">
        <f>V36/AB36</f>
        <v>0.16666666666666666</v>
      </c>
      <c r="X36" s="225">
        <v>9</v>
      </c>
      <c r="Y36" s="224">
        <f>X36/AB36</f>
        <v>0.75</v>
      </c>
      <c r="Z36" s="225">
        <v>1</v>
      </c>
      <c r="AA36" s="224">
        <f>Z36/AB36</f>
        <v>8.3333333333333329E-2</v>
      </c>
      <c r="AB36" s="226">
        <f>T36+V36+X36+Z36</f>
        <v>12</v>
      </c>
    </row>
    <row r="37" spans="1:28" x14ac:dyDescent="0.25">
      <c r="A37" s="222" t="s">
        <v>444</v>
      </c>
      <c r="B37" s="223">
        <v>41</v>
      </c>
      <c r="C37" s="224">
        <f>B37/J37</f>
        <v>9.3607305936073054E-2</v>
      </c>
      <c r="D37" s="225">
        <v>107</v>
      </c>
      <c r="E37" s="224">
        <f>D37/J37</f>
        <v>0.24429223744292236</v>
      </c>
      <c r="F37" s="225">
        <v>289</v>
      </c>
      <c r="G37" s="224">
        <f>F37/J37</f>
        <v>0.65981735159817356</v>
      </c>
      <c r="H37" s="225">
        <v>1</v>
      </c>
      <c r="I37" s="224">
        <f>H37/J37</f>
        <v>2.2831050228310501E-3</v>
      </c>
      <c r="J37" s="226">
        <f>B37+D37+F37+H37</f>
        <v>438</v>
      </c>
      <c r="K37" s="223">
        <v>220</v>
      </c>
      <c r="L37" s="224">
        <f>K37/S37</f>
        <v>0.3565640194489465</v>
      </c>
      <c r="M37" s="225">
        <v>177</v>
      </c>
      <c r="N37" s="224">
        <f>M37/S37</f>
        <v>0.28687196110210694</v>
      </c>
      <c r="O37" s="225">
        <v>220</v>
      </c>
      <c r="P37" s="224">
        <f>O37/S37</f>
        <v>0.3565640194489465</v>
      </c>
      <c r="Q37" s="225">
        <v>0</v>
      </c>
      <c r="R37" s="224">
        <f>Q37/S37</f>
        <v>0</v>
      </c>
      <c r="S37" s="226">
        <f>K37+M37+O37+Q37</f>
        <v>617</v>
      </c>
      <c r="T37" s="223">
        <v>0</v>
      </c>
      <c r="U37" s="224">
        <f>T37/AB37</f>
        <v>0</v>
      </c>
      <c r="V37" s="225">
        <v>0</v>
      </c>
      <c r="W37" s="224">
        <f>V37/AB37</f>
        <v>0</v>
      </c>
      <c r="X37" s="225">
        <v>5</v>
      </c>
      <c r="Y37" s="224">
        <f>X37/AB37</f>
        <v>0.83333333333333337</v>
      </c>
      <c r="Z37" s="225">
        <v>1</v>
      </c>
      <c r="AA37" s="224">
        <f>Z37/AB37</f>
        <v>0.16666666666666666</v>
      </c>
      <c r="AB37" s="226">
        <f>T37+V37+X37+Z37</f>
        <v>6</v>
      </c>
    </row>
    <row r="38" spans="1:28" x14ac:dyDescent="0.25">
      <c r="A38" s="222" t="s">
        <v>422</v>
      </c>
      <c r="B38" s="223">
        <v>0</v>
      </c>
      <c r="C38" s="224">
        <f t="shared" si="1"/>
        <v>0</v>
      </c>
      <c r="D38" s="225">
        <v>1</v>
      </c>
      <c r="E38" s="224">
        <f t="shared" si="2"/>
        <v>0.33333333333333331</v>
      </c>
      <c r="F38" s="225">
        <v>1</v>
      </c>
      <c r="G38" s="224">
        <f t="shared" si="3"/>
        <v>0.33333333333333331</v>
      </c>
      <c r="H38" s="225">
        <v>1</v>
      </c>
      <c r="I38" s="224">
        <f t="shared" si="4"/>
        <v>0.33333333333333331</v>
      </c>
      <c r="J38" s="226">
        <f t="shared" si="5"/>
        <v>3</v>
      </c>
      <c r="K38" s="223">
        <v>0</v>
      </c>
      <c r="L38" s="224">
        <f t="shared" si="6"/>
        <v>0</v>
      </c>
      <c r="M38" s="225">
        <v>11</v>
      </c>
      <c r="N38" s="224">
        <f t="shared" si="7"/>
        <v>0.47826086956521741</v>
      </c>
      <c r="O38" s="225">
        <v>12</v>
      </c>
      <c r="P38" s="224">
        <f t="shared" si="8"/>
        <v>0.52173913043478259</v>
      </c>
      <c r="Q38" s="225">
        <v>0</v>
      </c>
      <c r="R38" s="224">
        <f t="shared" si="9"/>
        <v>0</v>
      </c>
      <c r="S38" s="226">
        <f t="shared" si="10"/>
        <v>23</v>
      </c>
      <c r="T38" s="223">
        <v>0</v>
      </c>
      <c r="U38" s="224">
        <f t="shared" si="11"/>
        <v>0</v>
      </c>
      <c r="V38" s="225">
        <v>0</v>
      </c>
      <c r="W38" s="224">
        <f t="shared" ref="W38:W53" si="24">V38/AB38</f>
        <v>0</v>
      </c>
      <c r="X38" s="225">
        <v>1</v>
      </c>
      <c r="Y38" s="224">
        <f t="shared" si="12"/>
        <v>1</v>
      </c>
      <c r="Z38" s="225">
        <v>0</v>
      </c>
      <c r="AA38" s="224">
        <f t="shared" si="13"/>
        <v>0</v>
      </c>
      <c r="AB38" s="226">
        <f t="shared" si="16"/>
        <v>1</v>
      </c>
    </row>
    <row r="39" spans="1:28" x14ac:dyDescent="0.25">
      <c r="A39" s="222" t="s">
        <v>445</v>
      </c>
      <c r="B39" s="223">
        <v>0</v>
      </c>
      <c r="C39" s="224">
        <f t="shared" si="1"/>
        <v>0</v>
      </c>
      <c r="D39" s="225">
        <v>41</v>
      </c>
      <c r="E39" s="224">
        <f t="shared" si="2"/>
        <v>0.65079365079365081</v>
      </c>
      <c r="F39" s="225">
        <v>22</v>
      </c>
      <c r="G39" s="224">
        <f t="shared" si="3"/>
        <v>0.34920634920634919</v>
      </c>
      <c r="H39" s="225">
        <v>0</v>
      </c>
      <c r="I39" s="224">
        <f t="shared" si="4"/>
        <v>0</v>
      </c>
      <c r="J39" s="226">
        <f t="shared" si="5"/>
        <v>63</v>
      </c>
      <c r="K39" s="223">
        <v>0</v>
      </c>
      <c r="L39" s="224">
        <f t="shared" si="6"/>
        <v>0</v>
      </c>
      <c r="M39" s="225">
        <v>0</v>
      </c>
      <c r="N39" s="224">
        <f t="shared" si="7"/>
        <v>0</v>
      </c>
      <c r="O39" s="225">
        <v>5</v>
      </c>
      <c r="P39" s="224">
        <f t="shared" si="8"/>
        <v>1</v>
      </c>
      <c r="Q39" s="225">
        <v>0</v>
      </c>
      <c r="R39" s="224">
        <f t="shared" si="9"/>
        <v>0</v>
      </c>
      <c r="S39" s="226">
        <f t="shared" si="10"/>
        <v>5</v>
      </c>
      <c r="T39" s="223">
        <v>0</v>
      </c>
      <c r="U39" s="224">
        <f t="shared" si="11"/>
        <v>0</v>
      </c>
      <c r="V39" s="225">
        <v>6</v>
      </c>
      <c r="W39" s="224">
        <f t="shared" si="24"/>
        <v>0.66666666666666663</v>
      </c>
      <c r="X39" s="225">
        <v>3</v>
      </c>
      <c r="Y39" s="224">
        <f t="shared" si="12"/>
        <v>0.33333333333333331</v>
      </c>
      <c r="Z39" s="225">
        <v>0</v>
      </c>
      <c r="AA39" s="224">
        <f t="shared" si="13"/>
        <v>0</v>
      </c>
      <c r="AB39" s="226">
        <f t="shared" si="16"/>
        <v>9</v>
      </c>
    </row>
    <row r="40" spans="1:28" x14ac:dyDescent="0.25">
      <c r="A40" s="217" t="s">
        <v>446</v>
      </c>
      <c r="B40" s="227">
        <f>B41</f>
        <v>62</v>
      </c>
      <c r="C40" s="228">
        <f t="shared" si="1"/>
        <v>0.26956521739130435</v>
      </c>
      <c r="D40" s="229">
        <f>D41</f>
        <v>29</v>
      </c>
      <c r="E40" s="228">
        <f t="shared" si="2"/>
        <v>0.12608695652173912</v>
      </c>
      <c r="F40" s="229">
        <f>F41</f>
        <v>67</v>
      </c>
      <c r="G40" s="228">
        <f t="shared" si="3"/>
        <v>0.29130434782608694</v>
      </c>
      <c r="H40" s="229">
        <f>H41</f>
        <v>72</v>
      </c>
      <c r="I40" s="228">
        <f t="shared" si="4"/>
        <v>0.31304347826086959</v>
      </c>
      <c r="J40" s="230">
        <f t="shared" si="5"/>
        <v>230</v>
      </c>
      <c r="K40" s="227">
        <f>K41</f>
        <v>10</v>
      </c>
      <c r="L40" s="228">
        <f t="shared" si="6"/>
        <v>1.9723865877712032E-2</v>
      </c>
      <c r="M40" s="229">
        <f>M41</f>
        <v>3</v>
      </c>
      <c r="N40" s="228">
        <f t="shared" si="7"/>
        <v>5.9171597633136093E-3</v>
      </c>
      <c r="O40" s="229">
        <f>O41</f>
        <v>275</v>
      </c>
      <c r="P40" s="228">
        <f t="shared" si="8"/>
        <v>0.54240631163708086</v>
      </c>
      <c r="Q40" s="229">
        <f>Q41</f>
        <v>219</v>
      </c>
      <c r="R40" s="228">
        <f t="shared" si="9"/>
        <v>0.43195266272189348</v>
      </c>
      <c r="S40" s="230">
        <f t="shared" si="10"/>
        <v>507</v>
      </c>
      <c r="T40" s="227">
        <f>T41</f>
        <v>0</v>
      </c>
      <c r="U40" s="228">
        <f t="shared" si="11"/>
        <v>0</v>
      </c>
      <c r="V40" s="229">
        <f>V41</f>
        <v>0</v>
      </c>
      <c r="W40" s="228">
        <f t="shared" si="24"/>
        <v>0</v>
      </c>
      <c r="X40" s="229">
        <f>X41</f>
        <v>5</v>
      </c>
      <c r="Y40" s="228">
        <f t="shared" si="12"/>
        <v>0.5</v>
      </c>
      <c r="Z40" s="229">
        <f>Z41</f>
        <v>5</v>
      </c>
      <c r="AA40" s="228">
        <f t="shared" si="13"/>
        <v>0.5</v>
      </c>
      <c r="AB40" s="230">
        <f t="shared" si="16"/>
        <v>10</v>
      </c>
    </row>
    <row r="41" spans="1:28" x14ac:dyDescent="0.25">
      <c r="A41" s="222" t="s">
        <v>447</v>
      </c>
      <c r="B41" s="223">
        <v>62</v>
      </c>
      <c r="C41" s="224">
        <f t="shared" si="1"/>
        <v>0.26956521739130435</v>
      </c>
      <c r="D41" s="225">
        <v>29</v>
      </c>
      <c r="E41" s="224">
        <f t="shared" si="2"/>
        <v>0.12608695652173912</v>
      </c>
      <c r="F41" s="225">
        <v>67</v>
      </c>
      <c r="G41" s="224">
        <f t="shared" si="3"/>
        <v>0.29130434782608694</v>
      </c>
      <c r="H41" s="225">
        <v>72</v>
      </c>
      <c r="I41" s="224">
        <f t="shared" si="4"/>
        <v>0.31304347826086959</v>
      </c>
      <c r="J41" s="226">
        <f t="shared" si="5"/>
        <v>230</v>
      </c>
      <c r="K41" s="223">
        <v>10</v>
      </c>
      <c r="L41" s="224">
        <f t="shared" si="6"/>
        <v>1.9723865877712032E-2</v>
      </c>
      <c r="M41" s="225">
        <v>3</v>
      </c>
      <c r="N41" s="224">
        <f t="shared" si="7"/>
        <v>5.9171597633136093E-3</v>
      </c>
      <c r="O41" s="225">
        <v>275</v>
      </c>
      <c r="P41" s="224">
        <f t="shared" si="8"/>
        <v>0.54240631163708086</v>
      </c>
      <c r="Q41" s="225">
        <v>219</v>
      </c>
      <c r="R41" s="224">
        <f t="shared" si="9"/>
        <v>0.43195266272189348</v>
      </c>
      <c r="S41" s="226">
        <f t="shared" si="10"/>
        <v>507</v>
      </c>
      <c r="T41" s="223">
        <v>0</v>
      </c>
      <c r="U41" s="224">
        <f t="shared" si="11"/>
        <v>0</v>
      </c>
      <c r="V41" s="225">
        <v>0</v>
      </c>
      <c r="W41" s="224">
        <f t="shared" si="24"/>
        <v>0</v>
      </c>
      <c r="X41" s="225">
        <v>5</v>
      </c>
      <c r="Y41" s="224">
        <f t="shared" si="12"/>
        <v>0.5</v>
      </c>
      <c r="Z41" s="225">
        <v>5</v>
      </c>
      <c r="AA41" s="224">
        <f t="shared" si="13"/>
        <v>0.5</v>
      </c>
      <c r="AB41" s="226">
        <f t="shared" si="16"/>
        <v>10</v>
      </c>
    </row>
    <row r="42" spans="1:28" x14ac:dyDescent="0.25">
      <c r="A42" s="217" t="s">
        <v>448</v>
      </c>
      <c r="B42" s="227">
        <f>B43</f>
        <v>847</v>
      </c>
      <c r="C42" s="228">
        <f t="shared" si="1"/>
        <v>0.46032608695652172</v>
      </c>
      <c r="D42" s="229">
        <f>D43</f>
        <v>246</v>
      </c>
      <c r="E42" s="228">
        <f t="shared" si="2"/>
        <v>0.13369565217391305</v>
      </c>
      <c r="F42" s="229">
        <f>F43</f>
        <v>692</v>
      </c>
      <c r="G42" s="228">
        <f t="shared" si="3"/>
        <v>0.37608695652173912</v>
      </c>
      <c r="H42" s="229">
        <f>H43</f>
        <v>55</v>
      </c>
      <c r="I42" s="228">
        <f t="shared" si="4"/>
        <v>2.9891304347826088E-2</v>
      </c>
      <c r="J42" s="230">
        <f t="shared" si="5"/>
        <v>1840</v>
      </c>
      <c r="K42" s="227">
        <f>K43</f>
        <v>0</v>
      </c>
      <c r="L42" s="228">
        <f t="shared" si="6"/>
        <v>0</v>
      </c>
      <c r="M42" s="229">
        <f>M43</f>
        <v>0</v>
      </c>
      <c r="N42" s="228">
        <f t="shared" si="7"/>
        <v>0</v>
      </c>
      <c r="O42" s="229">
        <f>O43</f>
        <v>2306</v>
      </c>
      <c r="P42" s="228">
        <f t="shared" si="8"/>
        <v>0.97013041649137566</v>
      </c>
      <c r="Q42" s="229">
        <f>Q43</f>
        <v>71</v>
      </c>
      <c r="R42" s="228">
        <f t="shared" si="9"/>
        <v>2.9869583508624318E-2</v>
      </c>
      <c r="S42" s="230">
        <f t="shared" si="10"/>
        <v>2377</v>
      </c>
      <c r="T42" s="227">
        <f>T43</f>
        <v>0</v>
      </c>
      <c r="U42" s="228">
        <f t="shared" si="11"/>
        <v>0</v>
      </c>
      <c r="V42" s="229">
        <f>V43</f>
        <v>0</v>
      </c>
      <c r="W42" s="228">
        <f t="shared" si="24"/>
        <v>0</v>
      </c>
      <c r="X42" s="229">
        <f>X43</f>
        <v>7</v>
      </c>
      <c r="Y42" s="228">
        <f t="shared" si="12"/>
        <v>0.5</v>
      </c>
      <c r="Z42" s="229">
        <f>Z43</f>
        <v>7</v>
      </c>
      <c r="AA42" s="228">
        <f t="shared" si="13"/>
        <v>0.5</v>
      </c>
      <c r="AB42" s="230">
        <f t="shared" si="16"/>
        <v>14</v>
      </c>
    </row>
    <row r="43" spans="1:28" x14ac:dyDescent="0.25">
      <c r="A43" s="222" t="s">
        <v>449</v>
      </c>
      <c r="B43" s="223">
        <v>847</v>
      </c>
      <c r="C43" s="224">
        <f t="shared" si="1"/>
        <v>0.46032608695652172</v>
      </c>
      <c r="D43" s="225">
        <v>246</v>
      </c>
      <c r="E43" s="224">
        <f t="shared" si="2"/>
        <v>0.13369565217391305</v>
      </c>
      <c r="F43" s="225">
        <v>692</v>
      </c>
      <c r="G43" s="224">
        <f t="shared" si="3"/>
        <v>0.37608695652173912</v>
      </c>
      <c r="H43" s="225">
        <v>55</v>
      </c>
      <c r="I43" s="224">
        <f t="shared" si="4"/>
        <v>2.9891304347826088E-2</v>
      </c>
      <c r="J43" s="226">
        <f t="shared" si="5"/>
        <v>1840</v>
      </c>
      <c r="K43" s="223"/>
      <c r="L43" s="224">
        <f t="shared" si="6"/>
        <v>0</v>
      </c>
      <c r="M43" s="225"/>
      <c r="N43" s="224">
        <f t="shared" si="7"/>
        <v>0</v>
      </c>
      <c r="O43" s="225">
        <v>2306</v>
      </c>
      <c r="P43" s="224">
        <f t="shared" si="8"/>
        <v>0.97013041649137566</v>
      </c>
      <c r="Q43" s="225">
        <v>71</v>
      </c>
      <c r="R43" s="224">
        <f t="shared" si="9"/>
        <v>2.9869583508624318E-2</v>
      </c>
      <c r="S43" s="226">
        <f t="shared" si="10"/>
        <v>2377</v>
      </c>
      <c r="T43" s="223">
        <v>0</v>
      </c>
      <c r="U43" s="224">
        <f t="shared" si="11"/>
        <v>0</v>
      </c>
      <c r="V43" s="225">
        <v>0</v>
      </c>
      <c r="W43" s="224">
        <f t="shared" si="24"/>
        <v>0</v>
      </c>
      <c r="X43" s="225">
        <v>7</v>
      </c>
      <c r="Y43" s="224">
        <f t="shared" si="12"/>
        <v>0.5</v>
      </c>
      <c r="Z43" s="225">
        <v>7</v>
      </c>
      <c r="AA43" s="224">
        <f t="shared" si="13"/>
        <v>0.5</v>
      </c>
      <c r="AB43" s="226">
        <f t="shared" si="16"/>
        <v>14</v>
      </c>
    </row>
    <row r="44" spans="1:28" x14ac:dyDescent="0.25">
      <c r="A44" s="217" t="s">
        <v>450</v>
      </c>
      <c r="B44" s="227">
        <f>B45</f>
        <v>569</v>
      </c>
      <c r="C44" s="228">
        <f t="shared" si="1"/>
        <v>0.16521486643437863</v>
      </c>
      <c r="D44" s="229">
        <f>D45</f>
        <v>2291</v>
      </c>
      <c r="E44" s="228">
        <f t="shared" si="2"/>
        <v>0.66521486643437866</v>
      </c>
      <c r="F44" s="229">
        <f>F45</f>
        <v>382</v>
      </c>
      <c r="G44" s="228">
        <f t="shared" si="3"/>
        <v>0.11091753774680604</v>
      </c>
      <c r="H44" s="229">
        <f>H45</f>
        <v>202</v>
      </c>
      <c r="I44" s="228">
        <f t="shared" si="4"/>
        <v>5.8652729384436698E-2</v>
      </c>
      <c r="J44" s="230">
        <f t="shared" si="5"/>
        <v>3444</v>
      </c>
      <c r="K44" s="227">
        <f>K45</f>
        <v>525</v>
      </c>
      <c r="L44" s="228">
        <f t="shared" si="6"/>
        <v>0.58139534883720934</v>
      </c>
      <c r="M44" s="229">
        <f>M45</f>
        <v>306</v>
      </c>
      <c r="N44" s="228">
        <f t="shared" si="7"/>
        <v>0.33887043189368771</v>
      </c>
      <c r="O44" s="229">
        <f>O45</f>
        <v>0</v>
      </c>
      <c r="P44" s="228">
        <f t="shared" si="8"/>
        <v>0</v>
      </c>
      <c r="Q44" s="229">
        <f>Q45</f>
        <v>72</v>
      </c>
      <c r="R44" s="228">
        <f t="shared" si="9"/>
        <v>7.9734219269102985E-2</v>
      </c>
      <c r="S44" s="230">
        <f t="shared" si="10"/>
        <v>903</v>
      </c>
      <c r="T44" s="227">
        <f>T45</f>
        <v>1</v>
      </c>
      <c r="U44" s="228">
        <f t="shared" si="11"/>
        <v>8.3333333333333329E-2</v>
      </c>
      <c r="V44" s="229">
        <f>V45</f>
        <v>2</v>
      </c>
      <c r="W44" s="228">
        <f t="shared" si="24"/>
        <v>0.16666666666666666</v>
      </c>
      <c r="X44" s="229">
        <f>X45</f>
        <v>0</v>
      </c>
      <c r="Y44" s="228">
        <f t="shared" si="12"/>
        <v>0</v>
      </c>
      <c r="Z44" s="229">
        <f>Z45</f>
        <v>9</v>
      </c>
      <c r="AA44" s="228">
        <f t="shared" si="13"/>
        <v>0.75</v>
      </c>
      <c r="AB44" s="230">
        <f t="shared" si="16"/>
        <v>12</v>
      </c>
    </row>
    <row r="45" spans="1:28" x14ac:dyDescent="0.25">
      <c r="A45" s="222" t="s">
        <v>451</v>
      </c>
      <c r="B45" s="223">
        <v>569</v>
      </c>
      <c r="C45" s="224">
        <f t="shared" si="1"/>
        <v>0.16521486643437863</v>
      </c>
      <c r="D45" s="225">
        <v>2291</v>
      </c>
      <c r="E45" s="224">
        <f t="shared" si="2"/>
        <v>0.66521486643437866</v>
      </c>
      <c r="F45" s="225">
        <v>382</v>
      </c>
      <c r="G45" s="224">
        <f t="shared" si="3"/>
        <v>0.11091753774680604</v>
      </c>
      <c r="H45" s="225">
        <v>202</v>
      </c>
      <c r="I45" s="224">
        <f t="shared" si="4"/>
        <v>5.8652729384436698E-2</v>
      </c>
      <c r="J45" s="226">
        <f t="shared" si="5"/>
        <v>3444</v>
      </c>
      <c r="K45" s="223">
        <v>525</v>
      </c>
      <c r="L45" s="224">
        <f t="shared" si="6"/>
        <v>0.58139534883720934</v>
      </c>
      <c r="M45" s="225">
        <v>306</v>
      </c>
      <c r="N45" s="224">
        <f t="shared" si="7"/>
        <v>0.33887043189368771</v>
      </c>
      <c r="O45" s="225"/>
      <c r="P45" s="224">
        <f t="shared" si="8"/>
        <v>0</v>
      </c>
      <c r="Q45" s="225">
        <v>72</v>
      </c>
      <c r="R45" s="224">
        <f t="shared" si="9"/>
        <v>7.9734219269102985E-2</v>
      </c>
      <c r="S45" s="226">
        <f t="shared" si="10"/>
        <v>903</v>
      </c>
      <c r="T45" s="223">
        <v>1</v>
      </c>
      <c r="U45" s="224">
        <f t="shared" si="11"/>
        <v>8.3333333333333329E-2</v>
      </c>
      <c r="V45" s="225">
        <v>2</v>
      </c>
      <c r="W45" s="224">
        <f t="shared" si="24"/>
        <v>0.16666666666666666</v>
      </c>
      <c r="X45" s="225"/>
      <c r="Y45" s="224">
        <f t="shared" si="12"/>
        <v>0</v>
      </c>
      <c r="Z45" s="225">
        <v>9</v>
      </c>
      <c r="AA45" s="224">
        <f t="shared" si="13"/>
        <v>0.75</v>
      </c>
      <c r="AB45" s="226">
        <f t="shared" si="16"/>
        <v>12</v>
      </c>
    </row>
    <row r="46" spans="1:28" x14ac:dyDescent="0.25">
      <c r="A46" s="170" t="s">
        <v>452</v>
      </c>
      <c r="B46" s="232">
        <f>SUM(B47+B50+B52)</f>
        <v>929</v>
      </c>
      <c r="C46" s="233">
        <f t="shared" si="1"/>
        <v>0.20274989087734613</v>
      </c>
      <c r="D46" s="234">
        <v>0</v>
      </c>
      <c r="E46" s="233">
        <f t="shared" si="2"/>
        <v>0</v>
      </c>
      <c r="F46" s="235">
        <f>F47+F50+F52</f>
        <v>3269</v>
      </c>
      <c r="G46" s="233">
        <f t="shared" si="3"/>
        <v>0.71344391095591442</v>
      </c>
      <c r="H46" s="235">
        <f>H47+H50+H52</f>
        <v>384</v>
      </c>
      <c r="I46" s="233">
        <f t="shared" si="4"/>
        <v>8.3806198166739412E-2</v>
      </c>
      <c r="J46" s="236">
        <f t="shared" si="5"/>
        <v>4582</v>
      </c>
      <c r="K46" s="232" t="s">
        <v>492</v>
      </c>
      <c r="L46" s="233" t="s">
        <v>492</v>
      </c>
      <c r="M46" s="235" t="s">
        <v>492</v>
      </c>
      <c r="N46" s="237" t="s">
        <v>492</v>
      </c>
      <c r="O46" s="235">
        <f>O47+O50+O52</f>
        <v>7070</v>
      </c>
      <c r="P46" s="233">
        <f t="shared" si="8"/>
        <v>0.96703597319108192</v>
      </c>
      <c r="Q46" s="235">
        <f>Q47+Q50+Q52</f>
        <v>241</v>
      </c>
      <c r="R46" s="233">
        <f t="shared" si="9"/>
        <v>3.2964026808918072E-2</v>
      </c>
      <c r="S46" s="236">
        <f>O46+Q46</f>
        <v>7311</v>
      </c>
      <c r="T46" s="232">
        <f>T47+T50+T52</f>
        <v>0</v>
      </c>
      <c r="U46" s="233">
        <f t="shared" si="11"/>
        <v>0</v>
      </c>
      <c r="V46" s="235">
        <f>V47+V50+V52</f>
        <v>0</v>
      </c>
      <c r="W46" s="233">
        <f t="shared" si="24"/>
        <v>0</v>
      </c>
      <c r="X46" s="235">
        <f>X47+X50+X52</f>
        <v>60</v>
      </c>
      <c r="Y46" s="233">
        <f t="shared" si="12"/>
        <v>0.86956521739130432</v>
      </c>
      <c r="Z46" s="235">
        <f>Z47+Z50+Z52</f>
        <v>9</v>
      </c>
      <c r="AA46" s="233">
        <f t="shared" si="13"/>
        <v>0.13043478260869565</v>
      </c>
      <c r="AB46" s="236">
        <f>X46+Z46</f>
        <v>69</v>
      </c>
    </row>
    <row r="47" spans="1:28" x14ac:dyDescent="0.25">
      <c r="A47" s="238" t="s">
        <v>453</v>
      </c>
      <c r="B47" s="239">
        <f>SUM(B48:B49)</f>
        <v>288</v>
      </c>
      <c r="C47" s="228">
        <f t="shared" si="1"/>
        <v>0.12897447380206001</v>
      </c>
      <c r="D47" s="229">
        <v>0</v>
      </c>
      <c r="E47" s="228">
        <f t="shared" si="2"/>
        <v>0</v>
      </c>
      <c r="F47" s="240">
        <f>SUM(F48:F49)</f>
        <v>1828</v>
      </c>
      <c r="G47" s="228">
        <f t="shared" si="3"/>
        <v>0.8186296462158531</v>
      </c>
      <c r="H47" s="240">
        <f>SUM(H48:H49)</f>
        <v>117</v>
      </c>
      <c r="I47" s="228">
        <f t="shared" si="4"/>
        <v>5.2395879982086876E-2</v>
      </c>
      <c r="J47" s="230">
        <f>B47+D47+F47+H47</f>
        <v>2233</v>
      </c>
      <c r="K47" s="241" t="s">
        <v>492</v>
      </c>
      <c r="L47" s="228" t="s">
        <v>492</v>
      </c>
      <c r="M47" s="242" t="s">
        <v>492</v>
      </c>
      <c r="N47" s="243" t="s">
        <v>492</v>
      </c>
      <c r="O47" s="240">
        <f>SUM(O48:O49)</f>
        <v>2753</v>
      </c>
      <c r="P47" s="228">
        <f t="shared" si="8"/>
        <v>0.97382384152812174</v>
      </c>
      <c r="Q47" s="240">
        <f>SUM(Q48:Q49)</f>
        <v>74</v>
      </c>
      <c r="R47" s="228">
        <f t="shared" si="9"/>
        <v>2.6176158471878316E-2</v>
      </c>
      <c r="S47" s="230">
        <f t="shared" ref="S47:S53" si="25">O47+Q47</f>
        <v>2827</v>
      </c>
      <c r="T47" s="239">
        <f>SUM(T49:T49)</f>
        <v>0</v>
      </c>
      <c r="U47" s="228">
        <f t="shared" si="11"/>
        <v>0</v>
      </c>
      <c r="V47" s="240">
        <f>SUM(V49:V49)</f>
        <v>0</v>
      </c>
      <c r="W47" s="228">
        <f t="shared" si="24"/>
        <v>0</v>
      </c>
      <c r="X47" s="240">
        <f>SUM(X48:X49)</f>
        <v>23</v>
      </c>
      <c r="Y47" s="228">
        <f t="shared" si="12"/>
        <v>0.92</v>
      </c>
      <c r="Z47" s="240">
        <f>SUM(Z49:Z49)</f>
        <v>2</v>
      </c>
      <c r="AA47" s="228">
        <f t="shared" si="13"/>
        <v>0.08</v>
      </c>
      <c r="AB47" s="230">
        <f t="shared" ref="AB47:AB53" si="26">X47+Z47</f>
        <v>25</v>
      </c>
    </row>
    <row r="48" spans="1:28" x14ac:dyDescent="0.25">
      <c r="A48" s="244" t="s">
        <v>454</v>
      </c>
      <c r="B48" s="245">
        <v>240</v>
      </c>
      <c r="C48" s="224">
        <v>0.12972972972972974</v>
      </c>
      <c r="D48" s="246">
        <v>0</v>
      </c>
      <c r="E48" s="224">
        <v>0</v>
      </c>
      <c r="F48" s="246">
        <v>1493</v>
      </c>
      <c r="G48" s="224">
        <v>0.807027027027027</v>
      </c>
      <c r="H48" s="246">
        <v>117</v>
      </c>
      <c r="I48" s="224">
        <v>6.324324324324325E-2</v>
      </c>
      <c r="J48" s="247">
        <v>1850</v>
      </c>
      <c r="K48" s="248" t="s">
        <v>492</v>
      </c>
      <c r="L48" s="224" t="s">
        <v>492</v>
      </c>
      <c r="M48" s="249" t="s">
        <v>492</v>
      </c>
      <c r="N48" s="250" t="s">
        <v>492</v>
      </c>
      <c r="O48" s="246">
        <v>2019</v>
      </c>
      <c r="P48" s="224">
        <f t="shared" si="8"/>
        <v>0.97113997113997119</v>
      </c>
      <c r="Q48" s="246">
        <v>60</v>
      </c>
      <c r="R48" s="224">
        <f t="shared" si="9"/>
        <v>2.886002886002886E-2</v>
      </c>
      <c r="S48" s="247">
        <v>2079</v>
      </c>
      <c r="T48" s="245">
        <v>0</v>
      </c>
      <c r="U48" s="224">
        <v>0</v>
      </c>
      <c r="V48" s="246">
        <v>0</v>
      </c>
      <c r="W48" s="224">
        <v>0</v>
      </c>
      <c r="X48" s="246">
        <v>14</v>
      </c>
      <c r="Y48" s="224">
        <v>1</v>
      </c>
      <c r="Z48" s="246">
        <v>0</v>
      </c>
      <c r="AA48" s="224">
        <v>0</v>
      </c>
      <c r="AB48" s="247">
        <v>14</v>
      </c>
    </row>
    <row r="49" spans="1:28" x14ac:dyDescent="0.25">
      <c r="A49" s="244" t="s">
        <v>455</v>
      </c>
      <c r="B49" s="245">
        <v>48</v>
      </c>
      <c r="C49" s="224">
        <f t="shared" si="1"/>
        <v>0.12532637075718014</v>
      </c>
      <c r="D49" s="225">
        <v>0</v>
      </c>
      <c r="E49" s="224">
        <f t="shared" si="2"/>
        <v>0</v>
      </c>
      <c r="F49" s="246">
        <f>383-48</f>
        <v>335</v>
      </c>
      <c r="G49" s="224">
        <f t="shared" si="3"/>
        <v>0.87467362924281988</v>
      </c>
      <c r="H49" s="246">
        <v>0</v>
      </c>
      <c r="I49" s="224">
        <f t="shared" si="4"/>
        <v>0</v>
      </c>
      <c r="J49" s="226">
        <f t="shared" si="5"/>
        <v>383</v>
      </c>
      <c r="K49" s="248" t="s">
        <v>492</v>
      </c>
      <c r="L49" s="224" t="s">
        <v>492</v>
      </c>
      <c r="M49" s="249" t="s">
        <v>492</v>
      </c>
      <c r="N49" s="250" t="s">
        <v>492</v>
      </c>
      <c r="O49" s="246">
        <v>734</v>
      </c>
      <c r="P49" s="224">
        <f t="shared" si="8"/>
        <v>0.98128342245989308</v>
      </c>
      <c r="Q49" s="246">
        <v>14</v>
      </c>
      <c r="R49" s="224">
        <f t="shared" si="9"/>
        <v>1.871657754010695E-2</v>
      </c>
      <c r="S49" s="226">
        <f t="shared" si="25"/>
        <v>748</v>
      </c>
      <c r="T49" s="245"/>
      <c r="U49" s="224">
        <f t="shared" si="11"/>
        <v>0</v>
      </c>
      <c r="V49" s="246"/>
      <c r="W49" s="224">
        <f t="shared" si="24"/>
        <v>0</v>
      </c>
      <c r="X49" s="246">
        <v>9</v>
      </c>
      <c r="Y49" s="224">
        <f t="shared" si="12"/>
        <v>0.81818181818181823</v>
      </c>
      <c r="Z49" s="246">
        <v>2</v>
      </c>
      <c r="AA49" s="224">
        <f t="shared" si="13"/>
        <v>0.18181818181818182</v>
      </c>
      <c r="AB49" s="226">
        <f t="shared" si="26"/>
        <v>11</v>
      </c>
    </row>
    <row r="50" spans="1:28" x14ac:dyDescent="0.25">
      <c r="A50" s="238" t="s">
        <v>456</v>
      </c>
      <c r="B50" s="239">
        <f>B51</f>
        <v>167</v>
      </c>
      <c r="C50" s="228">
        <f t="shared" si="1"/>
        <v>0.2378917378917379</v>
      </c>
      <c r="D50" s="229">
        <v>0</v>
      </c>
      <c r="E50" s="228">
        <f t="shared" si="2"/>
        <v>0</v>
      </c>
      <c r="F50" s="240">
        <f>F51</f>
        <v>522</v>
      </c>
      <c r="G50" s="228">
        <f t="shared" si="3"/>
        <v>0.74358974358974361</v>
      </c>
      <c r="H50" s="240">
        <f>H51</f>
        <v>13</v>
      </c>
      <c r="I50" s="228">
        <f t="shared" si="4"/>
        <v>1.8518518518518517E-2</v>
      </c>
      <c r="J50" s="230">
        <f t="shared" si="5"/>
        <v>702</v>
      </c>
      <c r="K50" s="241" t="s">
        <v>492</v>
      </c>
      <c r="L50" s="228" t="s">
        <v>492</v>
      </c>
      <c r="M50" s="242" t="s">
        <v>492</v>
      </c>
      <c r="N50" s="243" t="s">
        <v>492</v>
      </c>
      <c r="O50" s="240">
        <f>O51</f>
        <v>1106</v>
      </c>
      <c r="P50" s="228">
        <f t="shared" si="8"/>
        <v>0.98223801065719363</v>
      </c>
      <c r="Q50" s="240">
        <f>Q51</f>
        <v>20</v>
      </c>
      <c r="R50" s="228">
        <f t="shared" si="9"/>
        <v>1.7761989342806393E-2</v>
      </c>
      <c r="S50" s="230">
        <f t="shared" si="25"/>
        <v>1126</v>
      </c>
      <c r="T50" s="239">
        <f>T51</f>
        <v>0</v>
      </c>
      <c r="U50" s="228">
        <f t="shared" si="11"/>
        <v>0</v>
      </c>
      <c r="V50" s="240">
        <f>V51</f>
        <v>0</v>
      </c>
      <c r="W50" s="228">
        <f t="shared" si="24"/>
        <v>0</v>
      </c>
      <c r="X50" s="240">
        <f>X51</f>
        <v>10</v>
      </c>
      <c r="Y50" s="228">
        <f t="shared" si="12"/>
        <v>0.83333333333333337</v>
      </c>
      <c r="Z50" s="240">
        <f>Z51</f>
        <v>2</v>
      </c>
      <c r="AA50" s="228">
        <f t="shared" si="13"/>
        <v>0.16666666666666666</v>
      </c>
      <c r="AB50" s="230">
        <f t="shared" si="26"/>
        <v>12</v>
      </c>
    </row>
    <row r="51" spans="1:28" x14ac:dyDescent="0.25">
      <c r="A51" s="244" t="s">
        <v>457</v>
      </c>
      <c r="B51" s="245">
        <v>167</v>
      </c>
      <c r="C51" s="224">
        <f t="shared" si="1"/>
        <v>0.2378917378917379</v>
      </c>
      <c r="D51" s="225">
        <v>0</v>
      </c>
      <c r="E51" s="224">
        <f t="shared" si="2"/>
        <v>0</v>
      </c>
      <c r="F51" s="246">
        <f>689-167</f>
        <v>522</v>
      </c>
      <c r="G51" s="224">
        <f t="shared" si="3"/>
        <v>0.74358974358974361</v>
      </c>
      <c r="H51" s="246">
        <v>13</v>
      </c>
      <c r="I51" s="224">
        <f t="shared" si="4"/>
        <v>1.8518518518518517E-2</v>
      </c>
      <c r="J51" s="226">
        <f t="shared" si="5"/>
        <v>702</v>
      </c>
      <c r="K51" s="248" t="s">
        <v>492</v>
      </c>
      <c r="L51" s="224" t="s">
        <v>492</v>
      </c>
      <c r="M51" s="249" t="s">
        <v>492</v>
      </c>
      <c r="N51" s="250" t="s">
        <v>492</v>
      </c>
      <c r="O51" s="246">
        <v>1106</v>
      </c>
      <c r="P51" s="224">
        <f t="shared" si="8"/>
        <v>0.98223801065719363</v>
      </c>
      <c r="Q51" s="246">
        <v>20</v>
      </c>
      <c r="R51" s="224">
        <f t="shared" si="9"/>
        <v>1.7761989342806393E-2</v>
      </c>
      <c r="S51" s="226">
        <f t="shared" si="25"/>
        <v>1126</v>
      </c>
      <c r="T51" s="245"/>
      <c r="U51" s="224">
        <f t="shared" si="11"/>
        <v>0</v>
      </c>
      <c r="V51" s="246"/>
      <c r="W51" s="224">
        <f t="shared" si="24"/>
        <v>0</v>
      </c>
      <c r="X51" s="246">
        <v>10</v>
      </c>
      <c r="Y51" s="224">
        <f t="shared" si="12"/>
        <v>0.83333333333333337</v>
      </c>
      <c r="Z51" s="246">
        <v>2</v>
      </c>
      <c r="AA51" s="224">
        <f t="shared" si="13"/>
        <v>0.16666666666666666</v>
      </c>
      <c r="AB51" s="226">
        <f t="shared" si="26"/>
        <v>12</v>
      </c>
    </row>
    <row r="52" spans="1:28" x14ac:dyDescent="0.25">
      <c r="A52" s="238" t="s">
        <v>458</v>
      </c>
      <c r="B52" s="239">
        <f>B53</f>
        <v>474</v>
      </c>
      <c r="C52" s="228">
        <f t="shared" si="1"/>
        <v>0.28779599271402551</v>
      </c>
      <c r="D52" s="229">
        <v>0</v>
      </c>
      <c r="E52" s="228">
        <f t="shared" si="2"/>
        <v>0</v>
      </c>
      <c r="F52" s="240">
        <f>F53</f>
        <v>919</v>
      </c>
      <c r="G52" s="228">
        <f t="shared" si="3"/>
        <v>0.55798421372191864</v>
      </c>
      <c r="H52" s="240">
        <f>H53</f>
        <v>254</v>
      </c>
      <c r="I52" s="228">
        <f t="shared" si="4"/>
        <v>0.15421979356405585</v>
      </c>
      <c r="J52" s="230">
        <f t="shared" si="5"/>
        <v>1647</v>
      </c>
      <c r="K52" s="241" t="s">
        <v>492</v>
      </c>
      <c r="L52" s="228" t="s">
        <v>492</v>
      </c>
      <c r="M52" s="242" t="s">
        <v>492</v>
      </c>
      <c r="N52" s="243" t="s">
        <v>492</v>
      </c>
      <c r="O52" s="240">
        <f>O53</f>
        <v>3211</v>
      </c>
      <c r="P52" s="228">
        <f t="shared" si="8"/>
        <v>0.95622394282310896</v>
      </c>
      <c r="Q52" s="240">
        <f>Q53</f>
        <v>147</v>
      </c>
      <c r="R52" s="228">
        <f t="shared" si="9"/>
        <v>4.3776057176891009E-2</v>
      </c>
      <c r="S52" s="230">
        <f t="shared" si="25"/>
        <v>3358</v>
      </c>
      <c r="T52" s="239">
        <f>T53</f>
        <v>0</v>
      </c>
      <c r="U52" s="228">
        <f t="shared" si="11"/>
        <v>0</v>
      </c>
      <c r="V52" s="240">
        <f>V53</f>
        <v>0</v>
      </c>
      <c r="W52" s="228">
        <f t="shared" si="24"/>
        <v>0</v>
      </c>
      <c r="X52" s="240">
        <f>X53</f>
        <v>27</v>
      </c>
      <c r="Y52" s="228">
        <f t="shared" si="12"/>
        <v>0.84375</v>
      </c>
      <c r="Z52" s="240">
        <f>Z53</f>
        <v>5</v>
      </c>
      <c r="AA52" s="228">
        <f t="shared" si="13"/>
        <v>0.15625</v>
      </c>
      <c r="AB52" s="230">
        <f t="shared" si="26"/>
        <v>32</v>
      </c>
    </row>
    <row r="53" spans="1:28" ht="12.75" thickBot="1" x14ac:dyDescent="0.3">
      <c r="A53" s="244" t="s">
        <v>459</v>
      </c>
      <c r="B53" s="251">
        <v>474</v>
      </c>
      <c r="C53" s="252">
        <f t="shared" si="1"/>
        <v>0.28779599271402551</v>
      </c>
      <c r="D53" s="253">
        <v>0</v>
      </c>
      <c r="E53" s="252">
        <f t="shared" si="2"/>
        <v>0</v>
      </c>
      <c r="F53" s="254">
        <f>1393-474</f>
        <v>919</v>
      </c>
      <c r="G53" s="252">
        <f t="shared" si="3"/>
        <v>0.55798421372191864</v>
      </c>
      <c r="H53" s="254">
        <v>254</v>
      </c>
      <c r="I53" s="252">
        <f t="shared" si="4"/>
        <v>0.15421979356405585</v>
      </c>
      <c r="J53" s="255">
        <f t="shared" si="5"/>
        <v>1647</v>
      </c>
      <c r="K53" s="256" t="s">
        <v>492</v>
      </c>
      <c r="L53" s="252" t="s">
        <v>492</v>
      </c>
      <c r="M53" s="257" t="s">
        <v>492</v>
      </c>
      <c r="N53" s="258" t="s">
        <v>492</v>
      </c>
      <c r="O53" s="254">
        <v>3211</v>
      </c>
      <c r="P53" s="252">
        <f t="shared" si="8"/>
        <v>0.95622394282310896</v>
      </c>
      <c r="Q53" s="254">
        <v>147</v>
      </c>
      <c r="R53" s="252">
        <f t="shared" si="9"/>
        <v>4.3776057176891009E-2</v>
      </c>
      <c r="S53" s="255">
        <f t="shared" si="25"/>
        <v>3358</v>
      </c>
      <c r="T53" s="251"/>
      <c r="U53" s="252">
        <f t="shared" si="11"/>
        <v>0</v>
      </c>
      <c r="V53" s="254"/>
      <c r="W53" s="252">
        <f t="shared" si="24"/>
        <v>0</v>
      </c>
      <c r="X53" s="254">
        <v>27</v>
      </c>
      <c r="Y53" s="252">
        <f t="shared" si="12"/>
        <v>0.84375</v>
      </c>
      <c r="Z53" s="254">
        <v>5</v>
      </c>
      <c r="AA53" s="252">
        <f t="shared" si="13"/>
        <v>0.15625</v>
      </c>
      <c r="AB53" s="255">
        <f t="shared" si="26"/>
        <v>32</v>
      </c>
    </row>
    <row r="54" spans="1:28" x14ac:dyDescent="0.25">
      <c r="E54" s="261"/>
    </row>
    <row r="55" spans="1:28" x14ac:dyDescent="0.25">
      <c r="A55" s="222" t="s">
        <v>493</v>
      </c>
      <c r="B55" s="262" t="s">
        <v>494</v>
      </c>
    </row>
    <row r="62" spans="1:28" x14ac:dyDescent="0.25">
      <c r="AA62" s="211" t="s">
        <v>495</v>
      </c>
    </row>
  </sheetData>
  <sheetProtection algorithmName="SHA-512" hashValue="klSmr620fRTdzM+UUCxrkwx85bENGP6HKDZHMXHDOd3GmKYLx3MhNH1uuR//nUfCc/dFN1WyNA2m/F6sJtKleg==" saltValue="QfPGoJFRZxb/xQDdfCBjaw==" spinCount="100000" sheet="1" objects="1" scenarios="1"/>
  <mergeCells count="15">
    <mergeCell ref="B1:J1"/>
    <mergeCell ref="K1:S1"/>
    <mergeCell ref="T1:AB1"/>
    <mergeCell ref="B2:C2"/>
    <mergeCell ref="D2:E2"/>
    <mergeCell ref="F2:G2"/>
    <mergeCell ref="H2:I2"/>
    <mergeCell ref="K2:L2"/>
    <mergeCell ref="M2:N2"/>
    <mergeCell ref="O2:P2"/>
    <mergeCell ref="Q2:R2"/>
    <mergeCell ref="T2:U2"/>
    <mergeCell ref="V2:W2"/>
    <mergeCell ref="X2:Y2"/>
    <mergeCell ref="Z2:AA2"/>
  </mergeCell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150EB-D31B-44D9-8108-EEEA12E06A02}">
  <dimension ref="A1:I52"/>
  <sheetViews>
    <sheetView showGridLines="0" zoomScale="90" zoomScaleNormal="90" workbookViewId="0">
      <pane xSplit="1" ySplit="1" topLeftCell="B8" activePane="bottomRight" state="frozen"/>
      <selection pane="topRight" activeCell="B1" sqref="B1"/>
      <selection pane="bottomLeft" activeCell="A2" sqref="A2"/>
      <selection pane="bottomRight" activeCell="B56" sqref="B56"/>
    </sheetView>
  </sheetViews>
  <sheetFormatPr defaultColWidth="9.140625" defaultRowHeight="12" x14ac:dyDescent="0.2"/>
  <cols>
    <col min="1" max="1" width="34.85546875" style="13" customWidth="1"/>
    <col min="2" max="2" width="19" style="36" customWidth="1"/>
    <col min="3" max="3" width="13" style="36" customWidth="1"/>
    <col min="4" max="4" width="15" style="15" customWidth="1"/>
    <col min="5" max="5" width="14.5703125" style="36" customWidth="1"/>
    <col min="6" max="6" width="15.5703125" style="15" customWidth="1"/>
    <col min="7" max="7" width="10.5703125" style="36" customWidth="1"/>
    <col min="8" max="8" width="10.85546875" style="15" customWidth="1"/>
    <col min="9" max="9" width="0" style="7" hidden="1" customWidth="1"/>
    <col min="10" max="16384" width="9.140625" style="7"/>
  </cols>
  <sheetData>
    <row r="1" spans="1:9" s="48" customFormat="1" ht="23.25" customHeight="1" x14ac:dyDescent="0.25">
      <c r="A1" s="47" t="s">
        <v>259</v>
      </c>
      <c r="B1" s="30" t="s">
        <v>496</v>
      </c>
      <c r="C1" s="846" t="s">
        <v>497</v>
      </c>
      <c r="D1" s="847"/>
      <c r="E1" s="848" t="s">
        <v>498</v>
      </c>
      <c r="F1" s="847"/>
      <c r="G1" s="849" t="s">
        <v>499</v>
      </c>
      <c r="H1" s="850"/>
    </row>
    <row r="2" spans="1:9" ht="12.75" x14ac:dyDescent="0.2">
      <c r="A2" s="3" t="s">
        <v>417</v>
      </c>
      <c r="B2" s="31">
        <f>B3+B45</f>
        <v>2893</v>
      </c>
      <c r="C2" s="37">
        <f>C3+C45</f>
        <v>947</v>
      </c>
      <c r="D2" s="1">
        <f>C2/I2</f>
        <v>4.8487020633864113E-2</v>
      </c>
      <c r="E2" s="41">
        <f>E3+E45</f>
        <v>884</v>
      </c>
      <c r="F2" s="1">
        <f>E2/I2</f>
        <v>4.5261379345655627E-2</v>
      </c>
      <c r="G2" s="37">
        <f t="shared" ref="G2:G44" si="0">C2+E2</f>
        <v>1831</v>
      </c>
      <c r="H2" s="17">
        <f>(C2+E2)/I2</f>
        <v>9.3748399979519739E-2</v>
      </c>
      <c r="I2" s="3">
        <v>19531</v>
      </c>
    </row>
    <row r="3" spans="1:9" ht="12.75" x14ac:dyDescent="0.2">
      <c r="A3" s="4" t="s">
        <v>418</v>
      </c>
      <c r="B3" s="32">
        <f>SUM(B4,B8,B14,B19,B32,B34,B39,B41,B43)</f>
        <v>2206</v>
      </c>
      <c r="C3" s="38">
        <f>SUM(C4,C8,C14,C19,C32,C34,C39,C41,C43)</f>
        <v>882</v>
      </c>
      <c r="D3" s="2">
        <f t="shared" ref="D3:D52" si="1">C3/I3</f>
        <v>5.9000602046959658E-2</v>
      </c>
      <c r="E3" s="42">
        <f>SUM(E4,E8,E14,E19,E32,E34,E39,E41,E43)</f>
        <v>872</v>
      </c>
      <c r="F3" s="2">
        <f t="shared" ref="F3:F51" si="2">E3/I3</f>
        <v>5.8331660980667596E-2</v>
      </c>
      <c r="G3" s="38">
        <f t="shared" si="0"/>
        <v>1754</v>
      </c>
      <c r="H3" s="18">
        <f t="shared" ref="H3:H52" si="3">(C3+E3)/I3</f>
        <v>0.11733226302762725</v>
      </c>
      <c r="I3" s="4">
        <v>14949.000000000002</v>
      </c>
    </row>
    <row r="4" spans="1:9" ht="12.75" x14ac:dyDescent="0.2">
      <c r="A4" s="5" t="s">
        <v>419</v>
      </c>
      <c r="B4" s="33">
        <f>SUM(B5:B7)</f>
        <v>119</v>
      </c>
      <c r="C4" s="39">
        <f>SUM(C5:C7)</f>
        <v>15</v>
      </c>
      <c r="D4" s="23">
        <f t="shared" si="1"/>
        <v>1.0869565217391304E-2</v>
      </c>
      <c r="E4" s="43">
        <f>SUM(E5:E7)</f>
        <v>244</v>
      </c>
      <c r="F4" s="23">
        <f t="shared" si="2"/>
        <v>0.17681159420289855</v>
      </c>
      <c r="G4" s="39">
        <f t="shared" si="0"/>
        <v>259</v>
      </c>
      <c r="H4" s="19">
        <f t="shared" si="3"/>
        <v>0.18768115942028984</v>
      </c>
      <c r="I4" s="5">
        <v>1380</v>
      </c>
    </row>
    <row r="5" spans="1:9" x14ac:dyDescent="0.2">
      <c r="A5" s="13" t="s">
        <v>420</v>
      </c>
      <c r="B5" s="22">
        <v>101</v>
      </c>
      <c r="C5" s="14">
        <v>13</v>
      </c>
      <c r="D5" s="24">
        <f t="shared" si="1"/>
        <v>9.7232610321615551E-3</v>
      </c>
      <c r="E5" s="14">
        <v>211</v>
      </c>
      <c r="F5" s="24">
        <f t="shared" si="2"/>
        <v>0.15781600598354525</v>
      </c>
      <c r="G5" s="46">
        <f t="shared" si="0"/>
        <v>224</v>
      </c>
      <c r="H5" s="20">
        <f t="shared" si="3"/>
        <v>0.16753926701570682</v>
      </c>
      <c r="I5" s="7">
        <v>1337</v>
      </c>
    </row>
    <row r="6" spans="1:9" x14ac:dyDescent="0.2">
      <c r="A6" s="13" t="s">
        <v>421</v>
      </c>
      <c r="B6" s="22">
        <v>13</v>
      </c>
      <c r="C6" s="14">
        <v>2</v>
      </c>
      <c r="D6" s="24">
        <f>C6/I6</f>
        <v>5.2631578947368418E-2</v>
      </c>
      <c r="E6" s="14">
        <v>33</v>
      </c>
      <c r="F6" s="24">
        <f>E6/I6</f>
        <v>0.86842105263157898</v>
      </c>
      <c r="G6" s="46">
        <f>C6+E6</f>
        <v>35</v>
      </c>
      <c r="H6" s="20">
        <f>(C6+E6)/I6</f>
        <v>0.92105263157894735</v>
      </c>
      <c r="I6" s="7">
        <v>38</v>
      </c>
    </row>
    <row r="7" spans="1:9" x14ac:dyDescent="0.2">
      <c r="A7" s="13" t="s">
        <v>500</v>
      </c>
      <c r="B7" s="22">
        <v>5</v>
      </c>
      <c r="C7" s="14">
        <v>0</v>
      </c>
      <c r="D7" s="24">
        <f t="shared" si="1"/>
        <v>0</v>
      </c>
      <c r="E7" s="14">
        <v>0</v>
      </c>
      <c r="F7" s="24">
        <f t="shared" si="2"/>
        <v>0</v>
      </c>
      <c r="G7" s="46">
        <f t="shared" si="0"/>
        <v>0</v>
      </c>
      <c r="H7" s="20">
        <f t="shared" si="3"/>
        <v>0</v>
      </c>
      <c r="I7" s="7">
        <v>5</v>
      </c>
    </row>
    <row r="8" spans="1:9" ht="12.75" x14ac:dyDescent="0.2">
      <c r="A8" s="5" t="s">
        <v>423</v>
      </c>
      <c r="B8" s="33">
        <f>SUM(B9:B13)</f>
        <v>2</v>
      </c>
      <c r="C8" s="39">
        <f>SUM(C9:C13)</f>
        <v>4</v>
      </c>
      <c r="D8" s="23">
        <f t="shared" si="1"/>
        <v>3.3057851239669422E-2</v>
      </c>
      <c r="E8" s="39">
        <f>SUM(E9:E13)</f>
        <v>114</v>
      </c>
      <c r="F8" s="23">
        <f t="shared" si="2"/>
        <v>0.94214876033057848</v>
      </c>
      <c r="G8" s="39">
        <f>SUM(G9:G13)</f>
        <v>118</v>
      </c>
      <c r="H8" s="19">
        <f t="shared" si="3"/>
        <v>0.97520661157024791</v>
      </c>
      <c r="I8" s="5">
        <v>121</v>
      </c>
    </row>
    <row r="9" spans="1:9" x14ac:dyDescent="0.2">
      <c r="A9" s="13" t="s">
        <v>424</v>
      </c>
      <c r="B9" s="22">
        <v>0</v>
      </c>
      <c r="C9" s="14">
        <v>1</v>
      </c>
      <c r="D9" s="24">
        <f>C9/I9</f>
        <v>0.02</v>
      </c>
      <c r="E9" s="14">
        <v>56</v>
      </c>
      <c r="F9" s="24">
        <f>E9/I9</f>
        <v>1.1200000000000001</v>
      </c>
      <c r="G9" s="46">
        <f>C9+E9</f>
        <v>57</v>
      </c>
      <c r="H9" s="20">
        <f>(C9+E9)/I9</f>
        <v>1.1399999999999999</v>
      </c>
      <c r="I9" s="7">
        <v>50</v>
      </c>
    </row>
    <row r="10" spans="1:9" x14ac:dyDescent="0.2">
      <c r="A10" s="13" t="s">
        <v>425</v>
      </c>
      <c r="B10" s="22"/>
      <c r="C10" s="14"/>
      <c r="D10" s="24">
        <v>0</v>
      </c>
      <c r="E10" s="14"/>
      <c r="F10" s="24">
        <v>0</v>
      </c>
      <c r="G10" s="46">
        <f>C10+E10</f>
        <v>0</v>
      </c>
      <c r="H10" s="20">
        <v>0</v>
      </c>
      <c r="I10" s="7">
        <v>0</v>
      </c>
    </row>
    <row r="11" spans="1:9" x14ac:dyDescent="0.2">
      <c r="A11" s="13" t="s">
        <v>477</v>
      </c>
      <c r="B11" s="22"/>
      <c r="C11" s="14"/>
      <c r="D11" s="24">
        <f>C11/I11</f>
        <v>0</v>
      </c>
      <c r="E11" s="14">
        <v>1</v>
      </c>
      <c r="F11" s="24">
        <f>E11/I11</f>
        <v>0.25</v>
      </c>
      <c r="G11" s="46">
        <f>C11+E11</f>
        <v>1</v>
      </c>
      <c r="H11" s="20">
        <f>(C11+E11)/I11</f>
        <v>0.25</v>
      </c>
      <c r="I11" s="7">
        <v>4</v>
      </c>
    </row>
    <row r="12" spans="1:9" x14ac:dyDescent="0.2">
      <c r="A12" s="13" t="s">
        <v>501</v>
      </c>
      <c r="B12" s="22">
        <v>0</v>
      </c>
      <c r="C12" s="14">
        <v>1</v>
      </c>
      <c r="D12" s="24">
        <f>C12/I12</f>
        <v>7.1428571428571425E-2</v>
      </c>
      <c r="E12" s="14">
        <v>27</v>
      </c>
      <c r="F12" s="24">
        <f>E12/I12</f>
        <v>1.9285714285714286</v>
      </c>
      <c r="G12" s="46">
        <f>C12+E12</f>
        <v>28</v>
      </c>
      <c r="H12" s="20">
        <f>(C12+E12)/I12</f>
        <v>2</v>
      </c>
      <c r="I12" s="7">
        <v>14</v>
      </c>
    </row>
    <row r="13" spans="1:9" x14ac:dyDescent="0.2">
      <c r="A13" s="13" t="s">
        <v>426</v>
      </c>
      <c r="B13" s="22">
        <v>2</v>
      </c>
      <c r="C13" s="14">
        <v>2</v>
      </c>
      <c r="D13" s="24">
        <f t="shared" si="1"/>
        <v>3.7735849056603772E-2</v>
      </c>
      <c r="E13" s="14">
        <v>30</v>
      </c>
      <c r="F13" s="24">
        <f t="shared" si="2"/>
        <v>0.56603773584905659</v>
      </c>
      <c r="G13" s="46">
        <f t="shared" si="0"/>
        <v>32</v>
      </c>
      <c r="H13" s="20">
        <f t="shared" si="3"/>
        <v>0.60377358490566035</v>
      </c>
      <c r="I13" s="7">
        <v>53</v>
      </c>
    </row>
    <row r="14" spans="1:9" ht="12.75" x14ac:dyDescent="0.2">
      <c r="A14" s="5" t="s">
        <v>428</v>
      </c>
      <c r="B14" s="33">
        <f>SUM(B15:B18)</f>
        <v>94</v>
      </c>
      <c r="C14" s="39">
        <f>SUM(C15:C18)</f>
        <v>60</v>
      </c>
      <c r="D14" s="23">
        <f t="shared" si="1"/>
        <v>8.5348506401137975E-2</v>
      </c>
      <c r="E14" s="39">
        <f>SUM(E15:E18)</f>
        <v>112</v>
      </c>
      <c r="F14" s="23">
        <f t="shared" si="2"/>
        <v>0.15931721194879089</v>
      </c>
      <c r="G14" s="39">
        <f>C14+E14</f>
        <v>172</v>
      </c>
      <c r="H14" s="19">
        <f t="shared" si="3"/>
        <v>0.24466571834992887</v>
      </c>
      <c r="I14" s="5">
        <v>703</v>
      </c>
    </row>
    <row r="15" spans="1:9" x14ac:dyDescent="0.2">
      <c r="A15" s="13" t="s">
        <v>429</v>
      </c>
      <c r="B15" s="22">
        <v>69</v>
      </c>
      <c r="C15" s="14">
        <v>43</v>
      </c>
      <c r="D15" s="24">
        <f t="shared" si="1"/>
        <v>8.4148727984344418E-2</v>
      </c>
      <c r="E15" s="14">
        <v>8</v>
      </c>
      <c r="F15" s="24">
        <f t="shared" si="2"/>
        <v>1.5655577299412915E-2</v>
      </c>
      <c r="G15" s="46">
        <f t="shared" si="0"/>
        <v>51</v>
      </c>
      <c r="H15" s="20">
        <f t="shared" si="3"/>
        <v>9.9804305283757333E-2</v>
      </c>
      <c r="I15" s="7">
        <v>511</v>
      </c>
    </row>
    <row r="16" spans="1:9" x14ac:dyDescent="0.2">
      <c r="A16" s="13" t="s">
        <v>427</v>
      </c>
      <c r="B16" s="22"/>
      <c r="C16" s="14">
        <v>1</v>
      </c>
      <c r="D16" s="24">
        <f t="shared" si="1"/>
        <v>6.6666666666666666E-2</v>
      </c>
      <c r="E16" s="14"/>
      <c r="F16" s="24">
        <f t="shared" si="2"/>
        <v>0</v>
      </c>
      <c r="G16" s="46">
        <f t="shared" si="0"/>
        <v>1</v>
      </c>
      <c r="H16" s="20">
        <f t="shared" si="3"/>
        <v>6.6666666666666666E-2</v>
      </c>
      <c r="I16" s="7">
        <v>15</v>
      </c>
    </row>
    <row r="17" spans="1:9" x14ac:dyDescent="0.2">
      <c r="A17" s="13" t="s">
        <v>430</v>
      </c>
      <c r="B17" s="22">
        <v>25</v>
      </c>
      <c r="C17" s="14">
        <v>10</v>
      </c>
      <c r="D17" s="24">
        <f t="shared" si="1"/>
        <v>6.4516129032258063E-2</v>
      </c>
      <c r="E17" s="14">
        <v>103</v>
      </c>
      <c r="F17" s="24">
        <f t="shared" si="2"/>
        <v>0.6645161290322581</v>
      </c>
      <c r="G17" s="46">
        <f t="shared" si="0"/>
        <v>113</v>
      </c>
      <c r="H17" s="20">
        <f t="shared" si="3"/>
        <v>0.7290322580645161</v>
      </c>
      <c r="I17" s="7">
        <v>155</v>
      </c>
    </row>
    <row r="18" spans="1:9" x14ac:dyDescent="0.2">
      <c r="A18" s="13" t="s">
        <v>431</v>
      </c>
      <c r="B18" s="22">
        <v>0</v>
      </c>
      <c r="C18" s="14">
        <v>6</v>
      </c>
      <c r="D18" s="24">
        <f t="shared" si="1"/>
        <v>0.27272727272727271</v>
      </c>
      <c r="E18" s="14">
        <v>1</v>
      </c>
      <c r="F18" s="24">
        <f t="shared" si="2"/>
        <v>4.5454545454545456E-2</v>
      </c>
      <c r="G18" s="46">
        <f t="shared" si="0"/>
        <v>7</v>
      </c>
      <c r="H18" s="20">
        <f t="shared" si="3"/>
        <v>0.31818181818181818</v>
      </c>
      <c r="I18" s="7">
        <v>22</v>
      </c>
    </row>
    <row r="19" spans="1:9" ht="12.75" x14ac:dyDescent="0.2">
      <c r="A19" s="5" t="s">
        <v>432</v>
      </c>
      <c r="B19" s="33">
        <f>SUM(B20:B31)</f>
        <v>660</v>
      </c>
      <c r="C19" s="39">
        <f>SUM(C20:C31)</f>
        <v>439</v>
      </c>
      <c r="D19" s="23">
        <f t="shared" si="1"/>
        <v>0.11314432989690722</v>
      </c>
      <c r="E19" s="39">
        <f>SUM(E20:E31)</f>
        <v>175</v>
      </c>
      <c r="F19" s="23">
        <f t="shared" si="2"/>
        <v>4.5103092783505154E-2</v>
      </c>
      <c r="G19" s="39">
        <f t="shared" si="0"/>
        <v>614</v>
      </c>
      <c r="H19" s="19">
        <f t="shared" si="3"/>
        <v>0.15824742268041236</v>
      </c>
      <c r="I19" s="5">
        <v>3880</v>
      </c>
    </row>
    <row r="20" spans="1:9" x14ac:dyDescent="0.2">
      <c r="A20" s="13" t="s">
        <v>478</v>
      </c>
      <c r="B20" s="22">
        <v>225</v>
      </c>
      <c r="C20" s="14">
        <v>182</v>
      </c>
      <c r="D20" s="24">
        <f t="shared" si="1"/>
        <v>0.13673929376408714</v>
      </c>
      <c r="E20" s="14">
        <v>38</v>
      </c>
      <c r="F20" s="24">
        <f t="shared" si="2"/>
        <v>2.8549962434259956E-2</v>
      </c>
      <c r="G20" s="46">
        <f t="shared" si="0"/>
        <v>220</v>
      </c>
      <c r="H20" s="20">
        <f t="shared" si="3"/>
        <v>0.16528925619834711</v>
      </c>
      <c r="I20" s="7">
        <v>1331</v>
      </c>
    </row>
    <row r="21" spans="1:9" x14ac:dyDescent="0.2">
      <c r="A21" s="13" t="s">
        <v>479</v>
      </c>
      <c r="B21" s="22">
        <v>1</v>
      </c>
      <c r="C21" s="14">
        <v>0</v>
      </c>
      <c r="D21" s="24">
        <f t="shared" si="1"/>
        <v>0</v>
      </c>
      <c r="E21" s="14">
        <v>0</v>
      </c>
      <c r="F21" s="24">
        <f t="shared" si="2"/>
        <v>0</v>
      </c>
      <c r="G21" s="46">
        <f t="shared" si="0"/>
        <v>0</v>
      </c>
      <c r="H21" s="20">
        <f t="shared" si="3"/>
        <v>0</v>
      </c>
      <c r="I21" s="7">
        <v>1</v>
      </c>
    </row>
    <row r="22" spans="1:9" x14ac:dyDescent="0.2">
      <c r="A22" s="13" t="s">
        <v>480</v>
      </c>
      <c r="B22" s="22">
        <v>283</v>
      </c>
      <c r="C22" s="14">
        <v>159</v>
      </c>
      <c r="D22" s="24">
        <f t="shared" si="1"/>
        <v>9.2873831775700938E-2</v>
      </c>
      <c r="E22" s="14">
        <v>72</v>
      </c>
      <c r="F22" s="24">
        <f t="shared" si="2"/>
        <v>4.2056074766355138E-2</v>
      </c>
      <c r="G22" s="46">
        <f t="shared" si="0"/>
        <v>231</v>
      </c>
      <c r="H22" s="20">
        <f t="shared" si="3"/>
        <v>0.13492990654205608</v>
      </c>
      <c r="I22" s="7">
        <v>1712</v>
      </c>
    </row>
    <row r="23" spans="1:9" x14ac:dyDescent="0.2">
      <c r="A23" s="13" t="s">
        <v>434</v>
      </c>
      <c r="B23" s="22">
        <v>87</v>
      </c>
      <c r="C23" s="14">
        <v>62</v>
      </c>
      <c r="D23" s="24">
        <f t="shared" ref="D23:D28" si="4">C23/I23</f>
        <v>0.12731006160164271</v>
      </c>
      <c r="E23" s="14">
        <v>17</v>
      </c>
      <c r="F23" s="24">
        <f t="shared" ref="F23:F28" si="5">E23/I23</f>
        <v>3.4907597535934289E-2</v>
      </c>
      <c r="G23" s="46">
        <f t="shared" ref="G23:G28" si="6">C23+E23</f>
        <v>79</v>
      </c>
      <c r="H23" s="20">
        <f t="shared" ref="H23:H28" si="7">(C23+E23)/I23</f>
        <v>0.16221765913757699</v>
      </c>
      <c r="I23" s="7">
        <v>487</v>
      </c>
    </row>
    <row r="24" spans="1:9" x14ac:dyDescent="0.2">
      <c r="A24" s="13" t="s">
        <v>502</v>
      </c>
      <c r="B24" s="22">
        <v>6</v>
      </c>
      <c r="C24" s="14">
        <v>1</v>
      </c>
      <c r="D24" s="24">
        <f t="shared" si="4"/>
        <v>2.7027027027027029E-2</v>
      </c>
      <c r="E24" s="14">
        <v>0</v>
      </c>
      <c r="F24" s="24">
        <f t="shared" si="5"/>
        <v>0</v>
      </c>
      <c r="G24" s="46">
        <f t="shared" si="6"/>
        <v>1</v>
      </c>
      <c r="H24" s="20">
        <f t="shared" si="7"/>
        <v>2.7027027027027029E-2</v>
      </c>
      <c r="I24" s="7">
        <v>37</v>
      </c>
    </row>
    <row r="25" spans="1:9" x14ac:dyDescent="0.2">
      <c r="A25" s="13" t="s">
        <v>435</v>
      </c>
      <c r="B25" s="22">
        <v>0</v>
      </c>
      <c r="C25" s="14">
        <v>0</v>
      </c>
      <c r="D25" s="24">
        <f t="shared" si="4"/>
        <v>0</v>
      </c>
      <c r="E25" s="14">
        <v>0</v>
      </c>
      <c r="F25" s="24">
        <f t="shared" si="5"/>
        <v>0</v>
      </c>
      <c r="G25" s="46">
        <f t="shared" si="6"/>
        <v>0</v>
      </c>
      <c r="H25" s="20">
        <f t="shared" si="7"/>
        <v>0</v>
      </c>
      <c r="I25" s="7">
        <v>1</v>
      </c>
    </row>
    <row r="26" spans="1:9" x14ac:dyDescent="0.2">
      <c r="A26" s="13" t="s">
        <v>481</v>
      </c>
      <c r="B26" s="22">
        <v>9</v>
      </c>
      <c r="C26" s="14">
        <v>11</v>
      </c>
      <c r="D26" s="24">
        <f t="shared" si="4"/>
        <v>0.13095238095238096</v>
      </c>
      <c r="E26" s="14">
        <v>9</v>
      </c>
      <c r="F26" s="24">
        <f t="shared" si="5"/>
        <v>0.10714285714285714</v>
      </c>
      <c r="G26" s="46">
        <f t="shared" si="6"/>
        <v>20</v>
      </c>
      <c r="H26" s="20">
        <f t="shared" si="7"/>
        <v>0.23809523809523808</v>
      </c>
      <c r="I26" s="7">
        <v>84</v>
      </c>
    </row>
    <row r="27" spans="1:9" x14ac:dyDescent="0.2">
      <c r="A27" s="13" t="s">
        <v>436</v>
      </c>
      <c r="B27" s="22">
        <v>16</v>
      </c>
      <c r="C27" s="14">
        <v>12</v>
      </c>
      <c r="D27" s="24">
        <f t="shared" si="4"/>
        <v>0.14814814814814814</v>
      </c>
      <c r="E27" s="14">
        <v>28</v>
      </c>
      <c r="F27" s="24">
        <f t="shared" si="5"/>
        <v>0.34567901234567899</v>
      </c>
      <c r="G27" s="46">
        <f t="shared" si="6"/>
        <v>40</v>
      </c>
      <c r="H27" s="20">
        <f t="shared" si="7"/>
        <v>0.49382716049382713</v>
      </c>
      <c r="I27" s="7">
        <v>81</v>
      </c>
    </row>
    <row r="28" spans="1:9" x14ac:dyDescent="0.2">
      <c r="A28" s="13" t="s">
        <v>438</v>
      </c>
      <c r="B28" s="22">
        <v>5</v>
      </c>
      <c r="C28" s="14">
        <v>4</v>
      </c>
      <c r="D28" s="24">
        <f t="shared" si="4"/>
        <v>7.2727272727272724E-2</v>
      </c>
      <c r="E28" s="14">
        <v>0</v>
      </c>
      <c r="F28" s="24">
        <f t="shared" si="5"/>
        <v>0</v>
      </c>
      <c r="G28" s="46">
        <f t="shared" si="6"/>
        <v>4</v>
      </c>
      <c r="H28" s="20">
        <f t="shared" si="7"/>
        <v>7.2727272727272724E-2</v>
      </c>
      <c r="I28" s="7">
        <v>55</v>
      </c>
    </row>
    <row r="29" spans="1:9" x14ac:dyDescent="0.2">
      <c r="A29" s="13" t="s">
        <v>427</v>
      </c>
      <c r="B29" s="22">
        <v>20</v>
      </c>
      <c r="C29" s="14">
        <v>1</v>
      </c>
      <c r="D29" s="24">
        <f t="shared" si="1"/>
        <v>2.1739130434782608E-2</v>
      </c>
      <c r="E29" s="14">
        <v>2</v>
      </c>
      <c r="F29" s="24">
        <f t="shared" si="2"/>
        <v>4.3478260869565216E-2</v>
      </c>
      <c r="G29" s="46">
        <f t="shared" si="0"/>
        <v>3</v>
      </c>
      <c r="H29" s="20">
        <f t="shared" si="3"/>
        <v>6.5217391304347824E-2</v>
      </c>
      <c r="I29" s="7">
        <v>46</v>
      </c>
    </row>
    <row r="30" spans="1:9" x14ac:dyDescent="0.2">
      <c r="A30" s="13" t="s">
        <v>437</v>
      </c>
      <c r="B30" s="22">
        <v>3</v>
      </c>
      <c r="C30" s="14">
        <v>3</v>
      </c>
      <c r="D30" s="24">
        <f t="shared" si="1"/>
        <v>0.27272727272727271</v>
      </c>
      <c r="E30" s="14">
        <v>0</v>
      </c>
      <c r="F30" s="24">
        <f t="shared" si="2"/>
        <v>0</v>
      </c>
      <c r="G30" s="46">
        <f t="shared" si="0"/>
        <v>3</v>
      </c>
      <c r="H30" s="20">
        <f t="shared" si="3"/>
        <v>0.27272727272727271</v>
      </c>
      <c r="I30" s="7">
        <v>11</v>
      </c>
    </row>
    <row r="31" spans="1:9" x14ac:dyDescent="0.2">
      <c r="A31" s="13" t="s">
        <v>439</v>
      </c>
      <c r="B31" s="22">
        <v>5</v>
      </c>
      <c r="C31" s="14">
        <v>4</v>
      </c>
      <c r="D31" s="24">
        <f t="shared" si="1"/>
        <v>0.11764705882352941</v>
      </c>
      <c r="E31" s="14">
        <v>9</v>
      </c>
      <c r="F31" s="24">
        <f t="shared" si="2"/>
        <v>0.26470588235294118</v>
      </c>
      <c r="G31" s="46">
        <f t="shared" si="0"/>
        <v>13</v>
      </c>
      <c r="H31" s="20">
        <f t="shared" si="3"/>
        <v>0.38235294117647056</v>
      </c>
      <c r="I31" s="7">
        <v>34</v>
      </c>
    </row>
    <row r="32" spans="1:9" ht="12.75" x14ac:dyDescent="0.2">
      <c r="A32" s="5" t="s">
        <v>440</v>
      </c>
      <c r="B32" s="33">
        <f>B33</f>
        <v>276</v>
      </c>
      <c r="C32" s="39">
        <f>C33</f>
        <v>23</v>
      </c>
      <c r="D32" s="23">
        <f t="shared" si="1"/>
        <v>1.1047070124879923E-2</v>
      </c>
      <c r="E32" s="39">
        <f>E33</f>
        <v>0</v>
      </c>
      <c r="F32" s="23">
        <f t="shared" si="2"/>
        <v>0</v>
      </c>
      <c r="G32" s="39">
        <f t="shared" si="0"/>
        <v>23</v>
      </c>
      <c r="H32" s="19">
        <f t="shared" si="3"/>
        <v>1.1047070124879923E-2</v>
      </c>
      <c r="I32" s="5">
        <v>2082</v>
      </c>
    </row>
    <row r="33" spans="1:9" x14ac:dyDescent="0.2">
      <c r="A33" s="13" t="s">
        <v>441</v>
      </c>
      <c r="B33" s="22">
        <v>276</v>
      </c>
      <c r="C33" s="14">
        <v>23</v>
      </c>
      <c r="D33" s="24">
        <f t="shared" si="1"/>
        <v>1.1047070124879923E-2</v>
      </c>
      <c r="E33" s="14">
        <v>0</v>
      </c>
      <c r="F33" s="24">
        <f t="shared" si="2"/>
        <v>0</v>
      </c>
      <c r="G33" s="46">
        <f t="shared" si="0"/>
        <v>23</v>
      </c>
      <c r="H33" s="20">
        <f t="shared" si="3"/>
        <v>1.1047070124879923E-2</v>
      </c>
      <c r="I33" s="7">
        <v>2082</v>
      </c>
    </row>
    <row r="34" spans="1:9" ht="12.75" x14ac:dyDescent="0.2">
      <c r="A34" s="5" t="s">
        <v>442</v>
      </c>
      <c r="B34" s="632">
        <f>SUM(B35:B38)</f>
        <v>376</v>
      </c>
      <c r="C34" s="39">
        <f>SUM(C35:C38)</f>
        <v>153</v>
      </c>
      <c r="D34" s="23">
        <f t="shared" si="1"/>
        <v>0.12056737588652482</v>
      </c>
      <c r="E34" s="39">
        <f>SUM(E35:E38)</f>
        <v>3</v>
      </c>
      <c r="F34" s="23">
        <f t="shared" si="2"/>
        <v>2.3640661938534278E-3</v>
      </c>
      <c r="G34" s="39">
        <f>SUM(G35:G38)</f>
        <v>156</v>
      </c>
      <c r="H34" s="19">
        <f t="shared" si="3"/>
        <v>0.12293144208037825</v>
      </c>
      <c r="I34" s="5">
        <v>1269</v>
      </c>
    </row>
    <row r="35" spans="1:9" x14ac:dyDescent="0.2">
      <c r="A35" s="13" t="s">
        <v>443</v>
      </c>
      <c r="B35" s="22">
        <v>229</v>
      </c>
      <c r="C35" s="14">
        <v>110</v>
      </c>
      <c r="D35" s="24">
        <f>C35/I35</f>
        <v>0.1437908496732026</v>
      </c>
      <c r="E35" s="14">
        <v>1</v>
      </c>
      <c r="F35" s="24">
        <f>E35/I35</f>
        <v>1.30718954248366E-3</v>
      </c>
      <c r="G35" s="46">
        <f>C35+E35</f>
        <v>111</v>
      </c>
      <c r="H35" s="20">
        <f>(C35+E35)/I35</f>
        <v>0.14509803921568629</v>
      </c>
      <c r="I35" s="7">
        <v>765</v>
      </c>
    </row>
    <row r="36" spans="1:9" x14ac:dyDescent="0.2">
      <c r="A36" s="13" t="s">
        <v>444</v>
      </c>
      <c r="B36" s="22">
        <v>136</v>
      </c>
      <c r="C36" s="14">
        <v>37</v>
      </c>
      <c r="D36" s="24">
        <f>C36/I36</f>
        <v>8.4474885844748854E-2</v>
      </c>
      <c r="E36" s="14">
        <v>2</v>
      </c>
      <c r="F36" s="24">
        <f>E36/I36</f>
        <v>4.5662100456621002E-3</v>
      </c>
      <c r="G36" s="46">
        <f>C36+E36</f>
        <v>39</v>
      </c>
      <c r="H36" s="20">
        <f>(C36+E36)/I36</f>
        <v>8.9041095890410954E-2</v>
      </c>
      <c r="I36" s="7">
        <v>438</v>
      </c>
    </row>
    <row r="37" spans="1:9" x14ac:dyDescent="0.2">
      <c r="A37" s="13" t="s">
        <v>422</v>
      </c>
      <c r="B37" s="22">
        <v>1</v>
      </c>
      <c r="C37" s="14">
        <v>3</v>
      </c>
      <c r="D37" s="24">
        <f t="shared" si="1"/>
        <v>1</v>
      </c>
      <c r="E37" s="14">
        <v>0</v>
      </c>
      <c r="F37" s="24">
        <f t="shared" si="2"/>
        <v>0</v>
      </c>
      <c r="G37" s="46">
        <f t="shared" si="0"/>
        <v>3</v>
      </c>
      <c r="H37" s="20">
        <f t="shared" si="3"/>
        <v>1</v>
      </c>
      <c r="I37" s="7">
        <v>3</v>
      </c>
    </row>
    <row r="38" spans="1:9" x14ac:dyDescent="0.2">
      <c r="A38" s="13" t="s">
        <v>445</v>
      </c>
      <c r="B38" s="22">
        <v>10</v>
      </c>
      <c r="C38" s="14">
        <v>3</v>
      </c>
      <c r="D38" s="24">
        <f t="shared" si="1"/>
        <v>4.7619047619047616E-2</v>
      </c>
      <c r="E38" s="14">
        <v>0</v>
      </c>
      <c r="F38" s="24">
        <f t="shared" si="2"/>
        <v>0</v>
      </c>
      <c r="G38" s="46">
        <f t="shared" si="0"/>
        <v>3</v>
      </c>
      <c r="H38" s="20">
        <f t="shared" si="3"/>
        <v>4.7619047619047616E-2</v>
      </c>
      <c r="I38" s="7">
        <v>63</v>
      </c>
    </row>
    <row r="39" spans="1:9" ht="12.75" x14ac:dyDescent="0.2">
      <c r="A39" s="5" t="s">
        <v>446</v>
      </c>
      <c r="B39" s="33">
        <f>B40</f>
        <v>41</v>
      </c>
      <c r="C39" s="39">
        <f>C40</f>
        <v>23</v>
      </c>
      <c r="D39" s="23">
        <f t="shared" si="1"/>
        <v>0.1</v>
      </c>
      <c r="E39" s="39">
        <f>E40</f>
        <v>1</v>
      </c>
      <c r="F39" s="23">
        <f t="shared" si="2"/>
        <v>4.3478260869565218E-3</v>
      </c>
      <c r="G39" s="39">
        <f t="shared" si="0"/>
        <v>24</v>
      </c>
      <c r="H39" s="19">
        <f t="shared" si="3"/>
        <v>0.10434782608695652</v>
      </c>
      <c r="I39" s="5">
        <v>230</v>
      </c>
    </row>
    <row r="40" spans="1:9" x14ac:dyDescent="0.2">
      <c r="A40" s="13" t="s">
        <v>447</v>
      </c>
      <c r="B40" s="22">
        <v>41</v>
      </c>
      <c r="C40" s="14">
        <v>23</v>
      </c>
      <c r="D40" s="24">
        <f t="shared" si="1"/>
        <v>0.1</v>
      </c>
      <c r="E40" s="14">
        <v>1</v>
      </c>
      <c r="F40" s="24">
        <f t="shared" si="2"/>
        <v>4.3478260869565218E-3</v>
      </c>
      <c r="G40" s="46">
        <f t="shared" si="0"/>
        <v>24</v>
      </c>
      <c r="H40" s="20">
        <f t="shared" si="3"/>
        <v>0.10434782608695652</v>
      </c>
      <c r="I40" s="7">
        <v>230</v>
      </c>
    </row>
    <row r="41" spans="1:9" ht="12.75" x14ac:dyDescent="0.2">
      <c r="A41" s="5" t="s">
        <v>448</v>
      </c>
      <c r="B41" s="33">
        <f>B42</f>
        <v>101</v>
      </c>
      <c r="C41" s="39">
        <f>C42</f>
        <v>50</v>
      </c>
      <c r="D41" s="23">
        <f t="shared" si="1"/>
        <v>2.717391304347826E-2</v>
      </c>
      <c r="E41" s="39">
        <f>E42</f>
        <v>19</v>
      </c>
      <c r="F41" s="23">
        <f t="shared" si="2"/>
        <v>1.0326086956521738E-2</v>
      </c>
      <c r="G41" s="39">
        <f t="shared" si="0"/>
        <v>69</v>
      </c>
      <c r="H41" s="19">
        <f t="shared" si="3"/>
        <v>3.7499999999999999E-2</v>
      </c>
      <c r="I41" s="5">
        <v>1840</v>
      </c>
    </row>
    <row r="42" spans="1:9" x14ac:dyDescent="0.2">
      <c r="A42" s="13" t="s">
        <v>449</v>
      </c>
      <c r="B42" s="22">
        <v>101</v>
      </c>
      <c r="C42" s="14">
        <v>50</v>
      </c>
      <c r="D42" s="24">
        <f t="shared" si="1"/>
        <v>2.717391304347826E-2</v>
      </c>
      <c r="E42" s="14">
        <v>19</v>
      </c>
      <c r="F42" s="24">
        <f t="shared" si="2"/>
        <v>1.0326086956521738E-2</v>
      </c>
      <c r="G42" s="46">
        <f t="shared" si="0"/>
        <v>69</v>
      </c>
      <c r="H42" s="20">
        <f t="shared" si="3"/>
        <v>3.7499999999999999E-2</v>
      </c>
      <c r="I42" s="7">
        <v>1840</v>
      </c>
    </row>
    <row r="43" spans="1:9" ht="12.75" x14ac:dyDescent="0.2">
      <c r="A43" s="5" t="s">
        <v>450</v>
      </c>
      <c r="B43" s="33">
        <f>B44</f>
        <v>537</v>
      </c>
      <c r="C43" s="39">
        <f>C44</f>
        <v>115</v>
      </c>
      <c r="D43" s="23">
        <f t="shared" si="1"/>
        <v>3.3391405342624858E-2</v>
      </c>
      <c r="E43" s="39">
        <f>E44</f>
        <v>204</v>
      </c>
      <c r="F43" s="23">
        <f t="shared" si="2"/>
        <v>5.9233449477351915E-2</v>
      </c>
      <c r="G43" s="39">
        <f t="shared" si="0"/>
        <v>319</v>
      </c>
      <c r="H43" s="19">
        <f t="shared" si="3"/>
        <v>9.2624854819976774E-2</v>
      </c>
      <c r="I43" s="5">
        <v>3444</v>
      </c>
    </row>
    <row r="44" spans="1:9" x14ac:dyDescent="0.2">
      <c r="A44" s="13" t="s">
        <v>451</v>
      </c>
      <c r="B44" s="22">
        <v>537</v>
      </c>
      <c r="C44" s="14">
        <v>115</v>
      </c>
      <c r="D44" s="24">
        <f t="shared" si="1"/>
        <v>3.3391405342624858E-2</v>
      </c>
      <c r="E44" s="26">
        <v>204</v>
      </c>
      <c r="F44" s="24">
        <f t="shared" si="2"/>
        <v>5.9233449477351915E-2</v>
      </c>
      <c r="G44" s="46">
        <f t="shared" si="0"/>
        <v>319</v>
      </c>
      <c r="H44" s="20">
        <f t="shared" si="3"/>
        <v>9.2624854819976774E-2</v>
      </c>
      <c r="I44" s="7">
        <v>3444</v>
      </c>
    </row>
    <row r="45" spans="1:9" ht="12.75" x14ac:dyDescent="0.2">
      <c r="A45" s="4" t="s">
        <v>452</v>
      </c>
      <c r="B45" s="32">
        <f>B46+B49+B51</f>
        <v>687</v>
      </c>
      <c r="C45" s="38">
        <f>C46+C49+C51</f>
        <v>65</v>
      </c>
      <c r="D45" s="2">
        <f t="shared" si="1"/>
        <v>1.4185945002182452E-2</v>
      </c>
      <c r="E45" s="42">
        <f>E46+E49+E51</f>
        <v>12</v>
      </c>
      <c r="F45" s="2">
        <f t="shared" si="2"/>
        <v>2.6189436927106066E-3</v>
      </c>
      <c r="G45" s="38">
        <f>G46+G49+G51</f>
        <v>77</v>
      </c>
      <c r="H45" s="18">
        <f t="shared" si="3"/>
        <v>1.680488869489306E-2</v>
      </c>
      <c r="I45" s="4">
        <v>4582</v>
      </c>
    </row>
    <row r="46" spans="1:9" ht="12.75" x14ac:dyDescent="0.2">
      <c r="A46" s="5" t="s">
        <v>453</v>
      </c>
      <c r="B46" s="33">
        <f>SUM(B47:B48)</f>
        <v>13</v>
      </c>
      <c r="C46" s="39">
        <f>SUM(C47:C48)</f>
        <v>43</v>
      </c>
      <c r="D46" s="23">
        <f t="shared" si="1"/>
        <v>1.9256605463502014E-2</v>
      </c>
      <c r="E46" s="43">
        <f>SUM(E47:E48)</f>
        <v>5</v>
      </c>
      <c r="F46" s="23">
        <f t="shared" si="2"/>
        <v>2.2391401701746527E-3</v>
      </c>
      <c r="G46" s="39">
        <f>SUM(G47:G48)</f>
        <v>48</v>
      </c>
      <c r="H46" s="19">
        <f t="shared" si="3"/>
        <v>2.1495745633676667E-2</v>
      </c>
      <c r="I46" s="5">
        <v>2233</v>
      </c>
    </row>
    <row r="47" spans="1:9" x14ac:dyDescent="0.2">
      <c r="A47" s="13" t="s">
        <v>454</v>
      </c>
      <c r="B47" s="34">
        <v>13</v>
      </c>
      <c r="C47" s="36">
        <v>31</v>
      </c>
      <c r="D47" s="24">
        <f t="shared" si="1"/>
        <v>1.6756756756756756E-2</v>
      </c>
      <c r="E47" s="44">
        <v>5</v>
      </c>
      <c r="F47" s="24">
        <f t="shared" si="2"/>
        <v>2.7027027027027029E-3</v>
      </c>
      <c r="G47" s="36">
        <v>36</v>
      </c>
      <c r="H47" s="20">
        <f t="shared" si="3"/>
        <v>1.9459459459459458E-2</v>
      </c>
      <c r="I47" s="7">
        <v>1850</v>
      </c>
    </row>
    <row r="48" spans="1:9" x14ac:dyDescent="0.2">
      <c r="A48" s="13" t="s">
        <v>455</v>
      </c>
      <c r="B48" s="34">
        <v>0</v>
      </c>
      <c r="C48" s="36">
        <v>12</v>
      </c>
      <c r="D48" s="24">
        <f t="shared" si="1"/>
        <v>3.1331592689295036E-2</v>
      </c>
      <c r="E48" s="44">
        <v>0</v>
      </c>
      <c r="F48" s="24">
        <f t="shared" si="2"/>
        <v>0</v>
      </c>
      <c r="G48" s="36">
        <f>E48+C48</f>
        <v>12</v>
      </c>
      <c r="H48" s="20">
        <f t="shared" si="3"/>
        <v>3.1331592689295036E-2</v>
      </c>
      <c r="I48" s="7">
        <v>383</v>
      </c>
    </row>
    <row r="49" spans="1:9" ht="12.75" x14ac:dyDescent="0.2">
      <c r="A49" s="5" t="s">
        <v>456</v>
      </c>
      <c r="B49" s="33">
        <f>B50</f>
        <v>27</v>
      </c>
      <c r="C49" s="39">
        <f>C50</f>
        <v>17</v>
      </c>
      <c r="D49" s="23">
        <f t="shared" si="1"/>
        <v>2.4216524216524215E-2</v>
      </c>
      <c r="E49" s="43">
        <f>E50</f>
        <v>2</v>
      </c>
      <c r="F49" s="23">
        <f t="shared" si="2"/>
        <v>2.8490028490028491E-3</v>
      </c>
      <c r="G49" s="39">
        <f>G50</f>
        <v>19</v>
      </c>
      <c r="H49" s="19">
        <f t="shared" si="3"/>
        <v>2.7065527065527065E-2</v>
      </c>
      <c r="I49" s="5">
        <v>702</v>
      </c>
    </row>
    <row r="50" spans="1:9" x14ac:dyDescent="0.2">
      <c r="A50" s="13" t="s">
        <v>457</v>
      </c>
      <c r="B50" s="34">
        <v>27</v>
      </c>
      <c r="C50" s="36">
        <v>17</v>
      </c>
      <c r="D50" s="24">
        <f t="shared" si="1"/>
        <v>2.4216524216524215E-2</v>
      </c>
      <c r="E50" s="44">
        <v>2</v>
      </c>
      <c r="F50" s="24">
        <f t="shared" si="2"/>
        <v>2.8490028490028491E-3</v>
      </c>
      <c r="G50" s="36">
        <f>E50+C50</f>
        <v>19</v>
      </c>
      <c r="H50" s="20">
        <f t="shared" si="3"/>
        <v>2.7065527065527065E-2</v>
      </c>
      <c r="I50" s="7">
        <v>702</v>
      </c>
    </row>
    <row r="51" spans="1:9" s="53" customFormat="1" ht="12.75" x14ac:dyDescent="0.25">
      <c r="A51" s="6" t="s">
        <v>458</v>
      </c>
      <c r="B51" s="49">
        <f>B52</f>
        <v>647</v>
      </c>
      <c r="C51" s="50">
        <f>C52</f>
        <v>5</v>
      </c>
      <c r="D51" s="51">
        <f t="shared" si="1"/>
        <v>3.0358227079538553E-3</v>
      </c>
      <c r="E51" s="52">
        <f>E52</f>
        <v>5</v>
      </c>
      <c r="F51" s="23">
        <f t="shared" si="2"/>
        <v>3.0358227079538553E-3</v>
      </c>
      <c r="G51" s="50">
        <f>G52</f>
        <v>10</v>
      </c>
      <c r="H51" s="19">
        <f t="shared" si="3"/>
        <v>6.0716454159077107E-3</v>
      </c>
      <c r="I51" s="5">
        <v>1647</v>
      </c>
    </row>
    <row r="52" spans="1:9" ht="12.75" thickBot="1" x14ac:dyDescent="0.25">
      <c r="A52" s="13" t="s">
        <v>459</v>
      </c>
      <c r="B52" s="35">
        <v>647</v>
      </c>
      <c r="C52" s="40">
        <v>5</v>
      </c>
      <c r="D52" s="25">
        <f t="shared" si="1"/>
        <v>3.0358227079538553E-3</v>
      </c>
      <c r="E52" s="45">
        <v>5</v>
      </c>
      <c r="F52" s="25">
        <v>4.1999999999999997E-3</v>
      </c>
      <c r="G52" s="40">
        <f>E52+C52</f>
        <v>10</v>
      </c>
      <c r="H52" s="21">
        <f t="shared" si="3"/>
        <v>6.0716454159077107E-3</v>
      </c>
      <c r="I52" s="7">
        <v>1647</v>
      </c>
    </row>
  </sheetData>
  <sheetProtection algorithmName="SHA-512" hashValue="1jB+nb0kA1L2w3bUZdZ62YjvtqCZrfvhQADz+uXKkB8GDWeFAv41svadt4XPYjPSYIXtysMWrNLE0kltTHZuFg==" saltValue="NnCgbIcpJa3+XXJwo17Pcg==" spinCount="100000" sheet="1" objects="1" scenarios="1"/>
  <mergeCells count="3">
    <mergeCell ref="C1:D1"/>
    <mergeCell ref="E1:F1"/>
    <mergeCell ref="G1:H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35C2E-B465-4D1B-B483-40EB76625023}">
  <dimension ref="A1:AK46"/>
  <sheetViews>
    <sheetView showGridLines="0" zoomScaleNormal="100" workbookViewId="0">
      <pane xSplit="1" ySplit="2" topLeftCell="B3" activePane="bottomRight" state="frozen"/>
      <selection pane="topRight" activeCell="B1" sqref="B1"/>
      <selection pane="bottomLeft" activeCell="A3" sqref="A3"/>
      <selection pane="bottomRight" activeCell="A2" sqref="A2"/>
    </sheetView>
  </sheetViews>
  <sheetFormatPr defaultColWidth="10.7109375" defaultRowHeight="12" x14ac:dyDescent="0.2"/>
  <cols>
    <col min="1" max="1" width="27.28515625" style="13" customWidth="1"/>
    <col min="2" max="12" width="11.140625" style="16" customWidth="1"/>
    <col min="13" max="13" width="11.140625" style="55" customWidth="1"/>
    <col min="14" max="37" width="11.140625" style="16" customWidth="1"/>
    <col min="38" max="16384" width="10.7109375" style="7"/>
  </cols>
  <sheetData>
    <row r="1" spans="1:37" s="567" customFormat="1" ht="13.5" customHeight="1" x14ac:dyDescent="0.2">
      <c r="A1" s="566"/>
      <c r="B1" s="851" t="s">
        <v>503</v>
      </c>
      <c r="C1" s="852"/>
      <c r="D1" s="852"/>
      <c r="E1" s="852"/>
      <c r="F1" s="852"/>
      <c r="G1" s="852"/>
      <c r="H1" s="852"/>
      <c r="I1" s="852"/>
      <c r="J1" s="852"/>
      <c r="K1" s="852"/>
      <c r="L1" s="852"/>
      <c r="M1" s="853"/>
      <c r="N1" s="851" t="s">
        <v>504</v>
      </c>
      <c r="O1" s="852"/>
      <c r="P1" s="852"/>
      <c r="Q1" s="852"/>
      <c r="R1" s="852"/>
      <c r="S1" s="852"/>
      <c r="T1" s="852"/>
      <c r="U1" s="852"/>
      <c r="V1" s="852"/>
      <c r="W1" s="852"/>
      <c r="X1" s="852"/>
      <c r="Y1" s="853"/>
      <c r="Z1" s="851" t="s">
        <v>505</v>
      </c>
      <c r="AA1" s="852"/>
      <c r="AB1" s="852"/>
      <c r="AC1" s="852"/>
      <c r="AD1" s="852"/>
      <c r="AE1" s="852"/>
      <c r="AF1" s="852"/>
      <c r="AG1" s="852"/>
      <c r="AH1" s="852"/>
      <c r="AI1" s="852"/>
      <c r="AJ1" s="852"/>
      <c r="AK1" s="853"/>
    </row>
    <row r="2" spans="1:37" s="294" customFormat="1" ht="61.5" customHeight="1" x14ac:dyDescent="0.25">
      <c r="A2" s="633" t="s">
        <v>277</v>
      </c>
      <c r="B2" s="568" t="s">
        <v>506</v>
      </c>
      <c r="C2" s="569" t="s">
        <v>507</v>
      </c>
      <c r="D2" s="569" t="s">
        <v>508</v>
      </c>
      <c r="E2" s="569" t="s">
        <v>509</v>
      </c>
      <c r="F2" s="569" t="s">
        <v>510</v>
      </c>
      <c r="G2" s="569" t="s">
        <v>511</v>
      </c>
      <c r="H2" s="569" t="s">
        <v>512</v>
      </c>
      <c r="I2" s="569" t="s">
        <v>513</v>
      </c>
      <c r="J2" s="569" t="s">
        <v>514</v>
      </c>
      <c r="K2" s="569" t="s">
        <v>515</v>
      </c>
      <c r="L2" s="569" t="s">
        <v>516</v>
      </c>
      <c r="M2" s="570" t="s">
        <v>517</v>
      </c>
      <c r="N2" s="568" t="s">
        <v>506</v>
      </c>
      <c r="O2" s="569" t="s">
        <v>507</v>
      </c>
      <c r="P2" s="569" t="s">
        <v>508</v>
      </c>
      <c r="Q2" s="571" t="s">
        <v>509</v>
      </c>
      <c r="R2" s="569" t="s">
        <v>510</v>
      </c>
      <c r="S2" s="569" t="s">
        <v>511</v>
      </c>
      <c r="T2" s="569" t="s">
        <v>512</v>
      </c>
      <c r="U2" s="569" t="s">
        <v>513</v>
      </c>
      <c r="V2" s="569" t="s">
        <v>514</v>
      </c>
      <c r="W2" s="569" t="s">
        <v>515</v>
      </c>
      <c r="X2" s="569" t="s">
        <v>516</v>
      </c>
      <c r="Y2" s="572" t="s">
        <v>517</v>
      </c>
      <c r="Z2" s="568" t="s">
        <v>506</v>
      </c>
      <c r="AA2" s="573" t="s">
        <v>507</v>
      </c>
      <c r="AB2" s="574" t="s">
        <v>508</v>
      </c>
      <c r="AC2" s="571" t="s">
        <v>509</v>
      </c>
      <c r="AD2" s="569" t="s">
        <v>510</v>
      </c>
      <c r="AE2" s="569" t="s">
        <v>511</v>
      </c>
      <c r="AF2" s="569" t="s">
        <v>512</v>
      </c>
      <c r="AG2" s="569" t="s">
        <v>513</v>
      </c>
      <c r="AH2" s="569" t="s">
        <v>514</v>
      </c>
      <c r="AI2" s="569" t="s">
        <v>515</v>
      </c>
      <c r="AJ2" s="569" t="s">
        <v>516</v>
      </c>
      <c r="AK2" s="572" t="s">
        <v>518</v>
      </c>
    </row>
    <row r="3" spans="1:37" s="578" customFormat="1" x14ac:dyDescent="0.2">
      <c r="A3" s="575" t="s">
        <v>417</v>
      </c>
      <c r="B3" s="57">
        <f>B4+B37</f>
        <v>0</v>
      </c>
      <c r="C3" s="58">
        <f>(B3/$M3)*1000000</f>
        <v>0</v>
      </c>
      <c r="D3" s="629">
        <f>F3+H3+J3</f>
        <v>200</v>
      </c>
      <c r="E3" s="58">
        <f>(D3/M3)*1000000</f>
        <v>2.1223060407727199</v>
      </c>
      <c r="F3" s="629">
        <f>F4+F37</f>
        <v>43</v>
      </c>
      <c r="G3" s="58">
        <f>(F3/$M3)*1000000</f>
        <v>0.4562957987661348</v>
      </c>
      <c r="H3" s="629">
        <f>H4+H37</f>
        <v>22</v>
      </c>
      <c r="I3" s="58">
        <f>(H3/$M3)*1000000</f>
        <v>0.23345366448499921</v>
      </c>
      <c r="J3" s="629">
        <f>J4+J37</f>
        <v>135</v>
      </c>
      <c r="K3" s="58">
        <f>(J3/$M3)*1000000</f>
        <v>1.432556577521586</v>
      </c>
      <c r="L3" s="630">
        <f>L4+L37</f>
        <v>2</v>
      </c>
      <c r="M3" s="631">
        <f>M4+M37</f>
        <v>94237115.74000001</v>
      </c>
      <c r="N3" s="59">
        <f>N4+N37</f>
        <v>0</v>
      </c>
      <c r="O3" s="576">
        <f>(N3/$Y3)*1000000</f>
        <v>0</v>
      </c>
      <c r="P3" s="60">
        <f>P4+P37</f>
        <v>101</v>
      </c>
      <c r="Q3" s="576">
        <f>(P3/$Y3)*1000000</f>
        <v>2.2783503177006912</v>
      </c>
      <c r="R3" s="60">
        <f>R4+R37</f>
        <v>22</v>
      </c>
      <c r="S3" s="576">
        <f>(R3/$Y3)*1000000</f>
        <v>0.4962743266278733</v>
      </c>
      <c r="T3" s="60">
        <f>T4+T37</f>
        <v>9</v>
      </c>
      <c r="U3" s="576">
        <f>(T3/$Y3)*1000000</f>
        <v>0.20302131543867546</v>
      </c>
      <c r="V3" s="60">
        <f>V4+V37</f>
        <v>70</v>
      </c>
      <c r="W3" s="576">
        <f>(V3/$Y3)*1000000</f>
        <v>1.5790546756341426</v>
      </c>
      <c r="X3" s="60">
        <f>X4+X37</f>
        <v>1</v>
      </c>
      <c r="Y3" s="61">
        <f>Y4+Y37</f>
        <v>44330320.590000004</v>
      </c>
      <c r="Z3" s="59">
        <f>Z4+Z37</f>
        <v>0</v>
      </c>
      <c r="AA3" s="577">
        <f>(Z3/$AK3)*1000000</f>
        <v>0</v>
      </c>
      <c r="AB3" s="62">
        <f>AB4+AB37</f>
        <v>86.285356432441915</v>
      </c>
      <c r="AC3" s="576">
        <f>(AB3/$AK3)*1000000</f>
        <v>1.7289300219159016</v>
      </c>
      <c r="AD3" s="63">
        <f>AD4+AD37</f>
        <v>21</v>
      </c>
      <c r="AE3" s="576">
        <f>(AD3/$AK3)*1000000</f>
        <v>0.4207843829058216</v>
      </c>
      <c r="AF3" s="63">
        <f>AF4+AF37</f>
        <v>13</v>
      </c>
      <c r="AG3" s="576">
        <f>(AF3/$AK3)*1000000</f>
        <v>0.26048557037027048</v>
      </c>
      <c r="AH3" s="63">
        <f>AH4+AH37</f>
        <v>52</v>
      </c>
      <c r="AI3" s="576">
        <f>(AH3/$AK3)*1000000</f>
        <v>1.0419422814810819</v>
      </c>
      <c r="AJ3" s="60">
        <f>AJ4+AJ37</f>
        <v>1</v>
      </c>
      <c r="AK3" s="61">
        <f>AK4+AK37</f>
        <v>49906795.149999999</v>
      </c>
    </row>
    <row r="4" spans="1:37" s="578" customFormat="1" x14ac:dyDescent="0.2">
      <c r="A4" s="579" t="s">
        <v>418</v>
      </c>
      <c r="B4" s="64">
        <f>N4+Z4</f>
        <v>0</v>
      </c>
      <c r="C4" s="65">
        <f t="shared" ref="C4:C44" si="0">(B4/$M4)*1000000</f>
        <v>0</v>
      </c>
      <c r="D4" s="66">
        <f t="shared" ref="D4:D44" si="1">F4+H4+J4</f>
        <v>107</v>
      </c>
      <c r="E4" s="65">
        <f>(D4/M4)*1000000</f>
        <v>1.6164307254938677</v>
      </c>
      <c r="F4" s="66">
        <f>R4+AD4</f>
        <v>35</v>
      </c>
      <c r="G4" s="65">
        <f t="shared" ref="G4:G44" si="2">(F4/$M4)*1000000</f>
        <v>0.52873902235780712</v>
      </c>
      <c r="H4" s="66">
        <f>T4+AF4</f>
        <v>22</v>
      </c>
      <c r="I4" s="65">
        <f t="shared" ref="I4:I44" si="3">(H4/$M4)*1000000</f>
        <v>0.33235024262490737</v>
      </c>
      <c r="J4" s="66">
        <f>V4+AH4</f>
        <v>50</v>
      </c>
      <c r="K4" s="65">
        <f t="shared" ref="K4:K44" si="4">(J4/$M4)*1000000</f>
        <v>0.75534146051115314</v>
      </c>
      <c r="L4" s="628">
        <f>X4+AJ4</f>
        <v>2</v>
      </c>
      <c r="M4" s="67">
        <f>Y4+AK4</f>
        <v>66195227.740000002</v>
      </c>
      <c r="N4" s="580">
        <f>SUM(N5,N9,N14,N17,N25,N27,N31,N33,N35)</f>
        <v>0</v>
      </c>
      <c r="O4" s="581">
        <f>(N4/$Y4)*1000000</f>
        <v>0</v>
      </c>
      <c r="P4" s="68">
        <f>SUM(P5,P9,P14,P17,P25,P27,P31,P33,P35)</f>
        <v>58</v>
      </c>
      <c r="Q4" s="581">
        <f>(P4/$Y4)*1000000</f>
        <v>1.7154495873392701</v>
      </c>
      <c r="R4" s="68">
        <f>SUM(R5,R9,R14,R17,R25,R27,R31,R33,R35)</f>
        <v>19</v>
      </c>
      <c r="S4" s="581">
        <f>(R4/$Y4)*1000000</f>
        <v>0.56195762343872646</v>
      </c>
      <c r="T4" s="68">
        <f>SUM(T5,T9,T14,T17,T25,T27,T31,T33,T35)</f>
        <v>9</v>
      </c>
      <c r="U4" s="581">
        <f>(T4/$Y4)*1000000</f>
        <v>0.26619045320781776</v>
      </c>
      <c r="V4" s="68">
        <f>SUM(V5,V9,V14,V17,V25,V27,V31,V33,V35)</f>
        <v>30</v>
      </c>
      <c r="W4" s="581">
        <f>(V4/$Y4)*1000000</f>
        <v>0.88730151069272589</v>
      </c>
      <c r="X4" s="68">
        <f>SUM(X5,X9,X14,X17,X25,X27,X31,X33,X35)</f>
        <v>1</v>
      </c>
      <c r="Y4" s="67">
        <f>SUM(Y5,Y9,Y14,Y17,Y25,Y27,Y31,Y33,Y35)</f>
        <v>33810378.590000004</v>
      </c>
      <c r="Z4" s="580">
        <f>SUM(Z5,Z9,Z14,Z17,Z25,Z27,Z31,Z33,Z35)</f>
        <v>0</v>
      </c>
      <c r="AA4" s="582">
        <f t="shared" ref="AA4:AC44" si="5">(Z4/$AK4)*1000000</f>
        <v>0</v>
      </c>
      <c r="AB4" s="69">
        <f>SUM(AB5,AB9,AB14,AB17,AB25,AB27,AB31,AB33,AB35)</f>
        <v>49</v>
      </c>
      <c r="AC4" s="581">
        <f t="shared" si="5"/>
        <v>1.5130532111803894</v>
      </c>
      <c r="AD4" s="70">
        <f>SUM(AD5,AD9,AD14,AD17,AD25,AD27,AD31,AD33,AD35)</f>
        <v>16</v>
      </c>
      <c r="AE4" s="581">
        <f t="shared" ref="AE4:AE7" si="6">(AD4/$AK4)*1000000</f>
        <v>0.49405819140584145</v>
      </c>
      <c r="AF4" s="70">
        <f>SUM(AF5,AF9,AF14,AF17,AF25,AF27,AF31,AF33,AF35)</f>
        <v>13</v>
      </c>
      <c r="AG4" s="581">
        <f t="shared" ref="AG4:AG7" si="7">(AF4/$AK4)*1000000</f>
        <v>0.40142228051724616</v>
      </c>
      <c r="AH4" s="70">
        <f>SUM(AH5,AH9,AH14,AH17,AH25,AH27,AH31,AH33,AH35)</f>
        <v>20</v>
      </c>
      <c r="AI4" s="581">
        <f t="shared" ref="AI4" si="8">(AH4/$AK4)*1000000</f>
        <v>0.61757273925730172</v>
      </c>
      <c r="AJ4" s="581">
        <f>SUM(AJ5,AJ9,AJ14,AJ17,AJ25,AJ27,AJ31,AJ33,AJ35)</f>
        <v>1</v>
      </c>
      <c r="AK4" s="67">
        <f>SUM(AK5,AK9,AK14,AK17,AK25,AK27,AK31,AK33,AK35)</f>
        <v>32384849.149999999</v>
      </c>
    </row>
    <row r="5" spans="1:37" s="578" customFormat="1" x14ac:dyDescent="0.2">
      <c r="A5" s="583" t="s">
        <v>419</v>
      </c>
      <c r="B5" s="71">
        <f>SUM(B6:B7)</f>
        <v>0</v>
      </c>
      <c r="C5" s="72">
        <f t="shared" si="0"/>
        <v>0</v>
      </c>
      <c r="D5" s="73">
        <f>F5+H5+J5</f>
        <v>12</v>
      </c>
      <c r="E5" s="72">
        <f>(D5/M5)*1000000</f>
        <v>1.4159317096136452</v>
      </c>
      <c r="F5" s="73">
        <f>SUM(F6:F7)</f>
        <v>4</v>
      </c>
      <c r="G5" s="72">
        <f>(F5/$M5)*1000000</f>
        <v>0.47197723653788182</v>
      </c>
      <c r="H5" s="73">
        <f>SUM(H6:H7)</f>
        <v>0</v>
      </c>
      <c r="I5" s="72">
        <f t="shared" si="3"/>
        <v>0</v>
      </c>
      <c r="J5" s="73">
        <f>SUM(J6:J8)</f>
        <v>8</v>
      </c>
      <c r="K5" s="72">
        <f t="shared" si="4"/>
        <v>0.94395447307576363</v>
      </c>
      <c r="L5" s="74">
        <f>SUM(L6:L7)</f>
        <v>0</v>
      </c>
      <c r="M5" s="75">
        <f>SUM(M6:M8)</f>
        <v>8474985</v>
      </c>
      <c r="N5" s="584">
        <f>SUM(N6:N7)</f>
        <v>0</v>
      </c>
      <c r="O5" s="585">
        <f t="shared" ref="O5:O44" si="9">(N5/$Y5)*1000000</f>
        <v>0</v>
      </c>
      <c r="P5" s="76">
        <f>SUM(P6:P8)</f>
        <v>3</v>
      </c>
      <c r="Q5" s="585">
        <f t="shared" ref="Q5:Q44" si="10">(P5/$Y5)*1000000</f>
        <v>0.98820381110681788</v>
      </c>
      <c r="R5" s="76">
        <f>SUM(R6:R7)</f>
        <v>1</v>
      </c>
      <c r="S5" s="585">
        <f t="shared" ref="S5:S44" si="11">(R5/$Y5)*1000000</f>
        <v>0.32940127036893929</v>
      </c>
      <c r="T5" s="76">
        <f>SUM(T6:T7)</f>
        <v>0</v>
      </c>
      <c r="U5" s="585">
        <f>(T5/$Y5)*1000000</f>
        <v>0</v>
      </c>
      <c r="V5" s="76">
        <f>SUM(V6:V8)</f>
        <v>2</v>
      </c>
      <c r="W5" s="585">
        <f t="shared" ref="W5:W44" si="12">(V5/$Y5)*1000000</f>
        <v>0.65880254073787858</v>
      </c>
      <c r="X5" s="76">
        <f>SUM(X6:X7)</f>
        <v>0</v>
      </c>
      <c r="Y5" s="77">
        <f>SUM(Y6:Y8)</f>
        <v>3035811</v>
      </c>
      <c r="Z5" s="584">
        <f>SUM(Z6:Z7)</f>
        <v>0</v>
      </c>
      <c r="AA5" s="586">
        <f t="shared" si="5"/>
        <v>0</v>
      </c>
      <c r="AB5" s="78">
        <f>SUM(AD5,AF5,AH5)</f>
        <v>9</v>
      </c>
      <c r="AC5" s="585">
        <f t="shared" si="5"/>
        <v>1.654663005816692</v>
      </c>
      <c r="AD5" s="79">
        <f>SUM(AD6:AD8)</f>
        <v>3</v>
      </c>
      <c r="AE5" s="585">
        <f t="shared" si="6"/>
        <v>0.55155433527223063</v>
      </c>
      <c r="AF5" s="79">
        <f>SUM(AF6:AF8)</f>
        <v>0</v>
      </c>
      <c r="AG5" s="585">
        <f t="shared" si="7"/>
        <v>0</v>
      </c>
      <c r="AH5" s="79">
        <f>SUM(AH6:AH8)</f>
        <v>6</v>
      </c>
      <c r="AI5" s="585">
        <f>(AH5/$AK5)*1000000</f>
        <v>1.1031086705444613</v>
      </c>
      <c r="AJ5" s="585">
        <f>SUM(AJ6:AJ7)</f>
        <v>0</v>
      </c>
      <c r="AK5" s="77">
        <f>SUM(AK6:AK8)</f>
        <v>5439174</v>
      </c>
    </row>
    <row r="6" spans="1:37" s="613" customFormat="1" x14ac:dyDescent="0.2">
      <c r="A6" s="601" t="s">
        <v>420</v>
      </c>
      <c r="B6" s="614">
        <f t="shared" ref="B6:B36" si="13">N6+Z6</f>
        <v>0</v>
      </c>
      <c r="C6" s="615">
        <f t="shared" si="0"/>
        <v>0</v>
      </c>
      <c r="D6" s="616">
        <f t="shared" si="1"/>
        <v>11</v>
      </c>
      <c r="E6" s="615">
        <f>(D6/M6)*1000000</f>
        <v>1.3844317876613901</v>
      </c>
      <c r="F6" s="616">
        <f t="shared" ref="F6:F36" si="14">R6+AD6</f>
        <v>4</v>
      </c>
      <c r="G6" s="615">
        <f t="shared" si="2"/>
        <v>0.50342974096777826</v>
      </c>
      <c r="H6" s="616">
        <f t="shared" ref="H6:H36" si="15">T6+AF6</f>
        <v>0</v>
      </c>
      <c r="I6" s="615">
        <f t="shared" si="3"/>
        <v>0</v>
      </c>
      <c r="J6" s="616">
        <f t="shared" ref="J6:J36" si="16">V6+AH6</f>
        <v>7</v>
      </c>
      <c r="K6" s="615">
        <f t="shared" si="4"/>
        <v>0.88100204669361193</v>
      </c>
      <c r="L6" s="627">
        <f t="shared" ref="L6:M21" si="17">X6+AJ6</f>
        <v>0</v>
      </c>
      <c r="M6" s="617">
        <f>Y6+AK6</f>
        <v>7945498</v>
      </c>
      <c r="N6" s="618">
        <v>0</v>
      </c>
      <c r="O6" s="619">
        <f t="shared" si="9"/>
        <v>0</v>
      </c>
      <c r="P6" s="620">
        <f t="shared" ref="P6:P44" si="18">R6+T6+V6</f>
        <v>3</v>
      </c>
      <c r="Q6" s="619">
        <f t="shared" si="10"/>
        <v>1.025003245843612</v>
      </c>
      <c r="R6" s="620">
        <v>1</v>
      </c>
      <c r="S6" s="619">
        <f t="shared" si="11"/>
        <v>0.3416677486145373</v>
      </c>
      <c r="T6" s="620">
        <v>0</v>
      </c>
      <c r="U6" s="619">
        <f>(T6/$Y6)*1000000</f>
        <v>0</v>
      </c>
      <c r="V6" s="620">
        <v>2</v>
      </c>
      <c r="W6" s="619">
        <f t="shared" si="12"/>
        <v>0.68333549722907461</v>
      </c>
      <c r="X6" s="620">
        <v>0</v>
      </c>
      <c r="Y6" s="621">
        <v>2926820</v>
      </c>
      <c r="Z6" s="618">
        <v>0</v>
      </c>
      <c r="AA6" s="622">
        <f t="shared" si="5"/>
        <v>0</v>
      </c>
      <c r="AB6" s="623">
        <f>AD6+AF6+AH6</f>
        <v>8</v>
      </c>
      <c r="AC6" s="619">
        <f t="shared" si="5"/>
        <v>1.5940452844354629</v>
      </c>
      <c r="AD6" s="624">
        <v>3</v>
      </c>
      <c r="AE6" s="619">
        <f t="shared" si="6"/>
        <v>0.59776698166329856</v>
      </c>
      <c r="AF6" s="624">
        <v>0</v>
      </c>
      <c r="AG6" s="619">
        <f t="shared" si="7"/>
        <v>0</v>
      </c>
      <c r="AH6" s="624">
        <v>5</v>
      </c>
      <c r="AI6" s="619">
        <f t="shared" ref="AI6:AI7" si="19">(AH6/$AK6)*1000000</f>
        <v>0.99627830277216434</v>
      </c>
      <c r="AJ6" s="619">
        <v>0</v>
      </c>
      <c r="AK6" s="621">
        <v>5018678</v>
      </c>
    </row>
    <row r="7" spans="1:37" s="613" customFormat="1" x14ac:dyDescent="0.2">
      <c r="A7" s="601" t="s">
        <v>421</v>
      </c>
      <c r="B7" s="614">
        <f t="shared" si="13"/>
        <v>0</v>
      </c>
      <c r="C7" s="615">
        <f t="shared" si="0"/>
        <v>0</v>
      </c>
      <c r="D7" s="616">
        <f t="shared" si="1"/>
        <v>0</v>
      </c>
      <c r="E7" s="615">
        <f>D7/M7</f>
        <v>0</v>
      </c>
      <c r="F7" s="616">
        <f t="shared" si="14"/>
        <v>0</v>
      </c>
      <c r="G7" s="615">
        <f t="shared" si="2"/>
        <v>0</v>
      </c>
      <c r="H7" s="616">
        <f t="shared" si="15"/>
        <v>0</v>
      </c>
      <c r="I7" s="615">
        <f t="shared" si="3"/>
        <v>0</v>
      </c>
      <c r="J7" s="616">
        <f t="shared" si="16"/>
        <v>0</v>
      </c>
      <c r="K7" s="615">
        <f t="shared" si="4"/>
        <v>0</v>
      </c>
      <c r="L7" s="627">
        <f t="shared" si="17"/>
        <v>0</v>
      </c>
      <c r="M7" s="617">
        <f t="shared" si="17"/>
        <v>408188</v>
      </c>
      <c r="N7" s="618">
        <v>0</v>
      </c>
      <c r="O7" s="619">
        <f t="shared" si="9"/>
        <v>0</v>
      </c>
      <c r="P7" s="620">
        <f t="shared" si="18"/>
        <v>0</v>
      </c>
      <c r="Q7" s="619">
        <f t="shared" si="10"/>
        <v>0</v>
      </c>
      <c r="R7" s="620">
        <v>0</v>
      </c>
      <c r="S7" s="619">
        <f t="shared" si="11"/>
        <v>0</v>
      </c>
      <c r="T7" s="620">
        <v>0</v>
      </c>
      <c r="U7" s="619">
        <f t="shared" ref="U7:U44" si="20">(T7/$Y7)*1000000</f>
        <v>0</v>
      </c>
      <c r="V7" s="620">
        <v>0</v>
      </c>
      <c r="W7" s="619">
        <f t="shared" si="12"/>
        <v>0</v>
      </c>
      <c r="X7" s="620">
        <v>0</v>
      </c>
      <c r="Y7" s="621">
        <v>92936</v>
      </c>
      <c r="Z7" s="618">
        <v>0</v>
      </c>
      <c r="AA7" s="622">
        <f t="shared" si="5"/>
        <v>0</v>
      </c>
      <c r="AB7" s="623">
        <f>AD7+AF7+AH7</f>
        <v>0</v>
      </c>
      <c r="AC7" s="619">
        <f t="shared" si="5"/>
        <v>0</v>
      </c>
      <c r="AD7" s="624">
        <v>0</v>
      </c>
      <c r="AE7" s="619">
        <f t="shared" si="6"/>
        <v>0</v>
      </c>
      <c r="AF7" s="624">
        <v>0</v>
      </c>
      <c r="AG7" s="619">
        <f t="shared" si="7"/>
        <v>0</v>
      </c>
      <c r="AH7" s="624">
        <v>0</v>
      </c>
      <c r="AI7" s="619">
        <f t="shared" si="19"/>
        <v>0</v>
      </c>
      <c r="AJ7" s="619">
        <v>0</v>
      </c>
      <c r="AK7" s="621">
        <v>315252</v>
      </c>
    </row>
    <row r="8" spans="1:37" s="613" customFormat="1" x14ac:dyDescent="0.2">
      <c r="A8" s="601" t="s">
        <v>422</v>
      </c>
      <c r="B8" s="614">
        <f>N8+Z8</f>
        <v>0</v>
      </c>
      <c r="C8" s="615">
        <f>(B8/$M8)*1000000</f>
        <v>0</v>
      </c>
      <c r="D8" s="616">
        <f>F8+H8+J8</f>
        <v>1</v>
      </c>
      <c r="E8" s="615">
        <f t="shared" ref="E8:E44" si="21">(D8/M8)*1000000</f>
        <v>8.2440910477415308</v>
      </c>
      <c r="F8" s="616">
        <f>R8+AD8</f>
        <v>0</v>
      </c>
      <c r="G8" s="615">
        <f>(F8/$M8)*1000000</f>
        <v>0</v>
      </c>
      <c r="H8" s="616">
        <f>T8+AF8</f>
        <v>0</v>
      </c>
      <c r="I8" s="615">
        <f>(H8/$M8)*1000000</f>
        <v>0</v>
      </c>
      <c r="J8" s="616">
        <f>V8+AH8</f>
        <v>1</v>
      </c>
      <c r="K8" s="615">
        <f>(J8/$M8)*1000000</f>
        <v>8.2440910477415308</v>
      </c>
      <c r="L8" s="627">
        <f>X8+AJ8</f>
        <v>0</v>
      </c>
      <c r="M8" s="617">
        <f>Y8+AK8</f>
        <v>121299</v>
      </c>
      <c r="N8" s="618">
        <v>0</v>
      </c>
      <c r="O8" s="619">
        <f>(N8/$Y8)*1000000</f>
        <v>0</v>
      </c>
      <c r="P8" s="620">
        <f t="shared" si="18"/>
        <v>0</v>
      </c>
      <c r="Q8" s="619">
        <f>(P8/$Y8)*1000000</f>
        <v>0</v>
      </c>
      <c r="R8" s="620">
        <v>0</v>
      </c>
      <c r="S8" s="619">
        <f>(R8/$Y8)*1000000</f>
        <v>0</v>
      </c>
      <c r="T8" s="620">
        <v>0</v>
      </c>
      <c r="U8" s="619">
        <f>(T8/$Y8)*1000000</f>
        <v>0</v>
      </c>
      <c r="V8" s="620">
        <v>0</v>
      </c>
      <c r="W8" s="619">
        <f>(V8/$Y8)*1000000</f>
        <v>0</v>
      </c>
      <c r="X8" s="620">
        <v>0</v>
      </c>
      <c r="Y8" s="621">
        <v>16055</v>
      </c>
      <c r="Z8" s="618">
        <v>0</v>
      </c>
      <c r="AA8" s="622">
        <f>(Z8/$AK8)*1000000</f>
        <v>0</v>
      </c>
      <c r="AB8" s="623">
        <f>AD8+AF8+AH8</f>
        <v>1</v>
      </c>
      <c r="AC8" s="619">
        <f>(AB8/$AK8)*1000000</f>
        <v>9.5017293147352824</v>
      </c>
      <c r="AD8" s="624">
        <v>0</v>
      </c>
      <c r="AE8" s="619">
        <f>(AD8/$AK8)*1000000</f>
        <v>0</v>
      </c>
      <c r="AF8" s="624">
        <v>0</v>
      </c>
      <c r="AG8" s="619">
        <f>(AF8/$AK8)*1000000</f>
        <v>0</v>
      </c>
      <c r="AH8" s="624">
        <v>1</v>
      </c>
      <c r="AI8" s="619">
        <f>(AH8/$AK8)*1000000</f>
        <v>9.5017293147352824</v>
      </c>
      <c r="AJ8" s="619">
        <v>0</v>
      </c>
      <c r="AK8" s="621">
        <v>105244</v>
      </c>
    </row>
    <row r="9" spans="1:37" s="578" customFormat="1" x14ac:dyDescent="0.2">
      <c r="A9" s="583" t="s">
        <v>423</v>
      </c>
      <c r="B9" s="71">
        <f t="shared" si="13"/>
        <v>0</v>
      </c>
      <c r="C9" s="72">
        <f t="shared" si="0"/>
        <v>0</v>
      </c>
      <c r="D9" s="73">
        <f t="shared" si="1"/>
        <v>2</v>
      </c>
      <c r="E9" s="72">
        <f t="shared" si="21"/>
        <v>0.91270688783379972</v>
      </c>
      <c r="F9" s="73">
        <f t="shared" si="14"/>
        <v>2</v>
      </c>
      <c r="G9" s="72">
        <f t="shared" si="2"/>
        <v>0.91270688783379972</v>
      </c>
      <c r="H9" s="73">
        <f t="shared" si="15"/>
        <v>0</v>
      </c>
      <c r="I9" s="72">
        <f t="shared" si="3"/>
        <v>0</v>
      </c>
      <c r="J9" s="73">
        <f t="shared" si="16"/>
        <v>0</v>
      </c>
      <c r="K9" s="72">
        <f t="shared" si="4"/>
        <v>0</v>
      </c>
      <c r="L9" s="74">
        <f t="shared" si="17"/>
        <v>0</v>
      </c>
      <c r="M9" s="75">
        <f t="shared" si="17"/>
        <v>2191284</v>
      </c>
      <c r="N9" s="584">
        <f>SUM(N13:N13)</f>
        <v>0</v>
      </c>
      <c r="O9" s="585">
        <f t="shared" si="9"/>
        <v>0</v>
      </c>
      <c r="P9" s="76">
        <f t="shared" si="18"/>
        <v>1</v>
      </c>
      <c r="Q9" s="585">
        <f t="shared" si="10"/>
        <v>3.2473963999363509</v>
      </c>
      <c r="R9" s="76">
        <f>SUM(R10:R13)</f>
        <v>1</v>
      </c>
      <c r="S9" s="585">
        <f t="shared" si="11"/>
        <v>3.2473963999363509</v>
      </c>
      <c r="T9" s="76">
        <f>SUM(T10:T13)</f>
        <v>0</v>
      </c>
      <c r="U9" s="585">
        <f t="shared" si="20"/>
        <v>0</v>
      </c>
      <c r="V9" s="76">
        <f>SUM(V10:V13)</f>
        <v>0</v>
      </c>
      <c r="W9" s="585">
        <f t="shared" si="12"/>
        <v>0</v>
      </c>
      <c r="X9" s="76">
        <f>SUM(X10:X13)</f>
        <v>0</v>
      </c>
      <c r="Y9" s="77">
        <f>SUM(Y10:Y13)</f>
        <v>307939</v>
      </c>
      <c r="Z9" s="584">
        <f>SUM(Z13:Z13)</f>
        <v>0</v>
      </c>
      <c r="AA9" s="586">
        <f t="shared" si="5"/>
        <v>0</v>
      </c>
      <c r="AB9" s="78">
        <f>SUM(AD9,AF9,AH9)</f>
        <v>1</v>
      </c>
      <c r="AC9" s="585">
        <f t="shared" si="5"/>
        <v>0.53097016213173898</v>
      </c>
      <c r="AD9" s="79">
        <f>SUM(AD10:AD13)</f>
        <v>1</v>
      </c>
      <c r="AE9" s="585">
        <f t="shared" ref="AE9" si="22">(AD9/$AK9)*1000000</f>
        <v>0.53097016213173898</v>
      </c>
      <c r="AF9" s="79">
        <f>SUM(AF13:AF13)</f>
        <v>0</v>
      </c>
      <c r="AG9" s="585">
        <f t="shared" ref="AG9" si="23">(AF9/$AK9)*1000000</f>
        <v>0</v>
      </c>
      <c r="AH9" s="79">
        <f>SUM(AH13:AH13)</f>
        <v>0</v>
      </c>
      <c r="AI9" s="585">
        <f t="shared" ref="AI9" si="24">(AH9/$AK9)*1000000</f>
        <v>0</v>
      </c>
      <c r="AJ9" s="585">
        <f>SUM(AJ13:AJ13)</f>
        <v>0</v>
      </c>
      <c r="AK9" s="77">
        <f>SUM(AK10:AK13)</f>
        <v>1883345</v>
      </c>
    </row>
    <row r="10" spans="1:37" s="613" customFormat="1" x14ac:dyDescent="0.2">
      <c r="A10" s="601" t="s">
        <v>424</v>
      </c>
      <c r="B10" s="614">
        <f>N10+Z10</f>
        <v>0</v>
      </c>
      <c r="C10" s="615">
        <f>(B10/$M10)*1000000</f>
        <v>0</v>
      </c>
      <c r="D10" s="616">
        <f>F10+H10+J10</f>
        <v>2</v>
      </c>
      <c r="E10" s="615">
        <f t="shared" si="21"/>
        <v>2.0412558214064456</v>
      </c>
      <c r="F10" s="616">
        <f>R10+AD10</f>
        <v>2</v>
      </c>
      <c r="G10" s="615">
        <f>(F10/$M10)*1000000</f>
        <v>2.0412558214064456</v>
      </c>
      <c r="H10" s="616">
        <f>T10+AF10</f>
        <v>0</v>
      </c>
      <c r="I10" s="615">
        <f>(H10/$M10)*1000000</f>
        <v>0</v>
      </c>
      <c r="J10" s="616">
        <f>V10+AH10</f>
        <v>0</v>
      </c>
      <c r="K10" s="615">
        <f>(J10/$M10)*1000000</f>
        <v>0</v>
      </c>
      <c r="L10" s="627">
        <f t="shared" si="17"/>
        <v>0</v>
      </c>
      <c r="M10" s="617">
        <f t="shared" si="17"/>
        <v>979789</v>
      </c>
      <c r="N10" s="618">
        <v>0</v>
      </c>
      <c r="O10" s="619">
        <f>(N10/$Y10)*1000000</f>
        <v>0</v>
      </c>
      <c r="P10" s="620">
        <f t="shared" si="18"/>
        <v>1</v>
      </c>
      <c r="Q10" s="619">
        <f>(P10/$Y10)*1000000</f>
        <v>7.250895485592471</v>
      </c>
      <c r="R10" s="620">
        <v>1</v>
      </c>
      <c r="S10" s="619">
        <f>(R10/$Y10)*1000000</f>
        <v>7.250895485592471</v>
      </c>
      <c r="T10" s="620">
        <v>0</v>
      </c>
      <c r="U10" s="619">
        <f>(T10/$Y10)*1000000</f>
        <v>0</v>
      </c>
      <c r="V10" s="620">
        <v>0</v>
      </c>
      <c r="W10" s="619">
        <f>(V10/$Y10)*1000000</f>
        <v>0</v>
      </c>
      <c r="X10" s="620">
        <v>0</v>
      </c>
      <c r="Y10" s="621">
        <v>137914</v>
      </c>
      <c r="Z10" s="618">
        <v>0</v>
      </c>
      <c r="AA10" s="622">
        <f>(Z10/$AK10)*1000000</f>
        <v>0</v>
      </c>
      <c r="AB10" s="623">
        <f>AD10+AF10+AH10</f>
        <v>1</v>
      </c>
      <c r="AC10" s="619">
        <f>(AB10/$AK10)*1000000</f>
        <v>1.1878247958426134</v>
      </c>
      <c r="AD10" s="624">
        <v>1</v>
      </c>
      <c r="AE10" s="619">
        <f>(AD10/$AK10)*1000000</f>
        <v>1.1878247958426134</v>
      </c>
      <c r="AF10" s="624">
        <v>0</v>
      </c>
      <c r="AG10" s="619">
        <f>(AF10/$AK10)*1000000</f>
        <v>0</v>
      </c>
      <c r="AH10" s="624">
        <v>0</v>
      </c>
      <c r="AI10" s="619">
        <f>(AH10/$AK10)*1000000</f>
        <v>0</v>
      </c>
      <c r="AJ10" s="619">
        <v>0</v>
      </c>
      <c r="AK10" s="621">
        <v>841875</v>
      </c>
    </row>
    <row r="11" spans="1:37" s="613" customFormat="1" x14ac:dyDescent="0.2">
      <c r="A11" s="601" t="s">
        <v>519</v>
      </c>
      <c r="B11" s="614">
        <f>N11+Z11</f>
        <v>0</v>
      </c>
      <c r="C11" s="615">
        <f>(B11/$M11)*1000000</f>
        <v>0</v>
      </c>
      <c r="D11" s="616">
        <f>F11+H11+J11</f>
        <v>0</v>
      </c>
      <c r="E11" s="615">
        <f t="shared" si="21"/>
        <v>0</v>
      </c>
      <c r="F11" s="616">
        <f>R11+AD11</f>
        <v>0</v>
      </c>
      <c r="G11" s="615">
        <f>(F11/$M11)*1000000</f>
        <v>0</v>
      </c>
      <c r="H11" s="616">
        <f>T11+AF11</f>
        <v>0</v>
      </c>
      <c r="I11" s="615">
        <f>(H11/$M11)*1000000</f>
        <v>0</v>
      </c>
      <c r="J11" s="616">
        <f>V11+AH11</f>
        <v>0</v>
      </c>
      <c r="K11" s="615">
        <f>(J11/$M11)*1000000</f>
        <v>0</v>
      </c>
      <c r="L11" s="627">
        <f t="shared" si="17"/>
        <v>0</v>
      </c>
      <c r="M11" s="617">
        <f t="shared" si="17"/>
        <v>850551</v>
      </c>
      <c r="N11" s="618">
        <v>0</v>
      </c>
      <c r="O11" s="619">
        <f>(N11/$Y11)*1000000</f>
        <v>0</v>
      </c>
      <c r="P11" s="620">
        <f t="shared" si="18"/>
        <v>0</v>
      </c>
      <c r="Q11" s="619">
        <f>(P11/$Y11)*1000000</f>
        <v>0</v>
      </c>
      <c r="R11" s="620">
        <v>0</v>
      </c>
      <c r="S11" s="619">
        <f>(R11/$Y11)*1000000</f>
        <v>0</v>
      </c>
      <c r="T11" s="620">
        <v>0</v>
      </c>
      <c r="U11" s="619">
        <f>(T11/$Y11)*1000000</f>
        <v>0</v>
      </c>
      <c r="V11" s="620">
        <v>0</v>
      </c>
      <c r="W11" s="619">
        <f>(V11/$Y11)*1000000</f>
        <v>0</v>
      </c>
      <c r="X11" s="620">
        <v>0</v>
      </c>
      <c r="Y11" s="621">
        <v>100408</v>
      </c>
      <c r="Z11" s="618">
        <v>0</v>
      </c>
      <c r="AA11" s="622">
        <f>(Z11/$AK11)*1000000</f>
        <v>0</v>
      </c>
      <c r="AB11" s="623">
        <f>AD11+AF11+AH11</f>
        <v>0</v>
      </c>
      <c r="AC11" s="619">
        <f>(AB11/$AK11)*1000000</f>
        <v>0</v>
      </c>
      <c r="AD11" s="624">
        <v>0</v>
      </c>
      <c r="AE11" s="619">
        <f>(AD11/$AK11)*1000000</f>
        <v>0</v>
      </c>
      <c r="AF11" s="624">
        <v>0</v>
      </c>
      <c r="AG11" s="619">
        <f>(AF11/$AK11)*1000000</f>
        <v>0</v>
      </c>
      <c r="AH11" s="624">
        <v>0</v>
      </c>
      <c r="AI11" s="619">
        <f>(AH11/$AK11)*1000000</f>
        <v>0</v>
      </c>
      <c r="AJ11" s="619">
        <v>0</v>
      </c>
      <c r="AK11" s="621">
        <v>750143</v>
      </c>
    </row>
    <row r="12" spans="1:37" s="613" customFormat="1" x14ac:dyDescent="0.2">
      <c r="A12" s="601" t="s">
        <v>422</v>
      </c>
      <c r="B12" s="614">
        <f>N12+Z12</f>
        <v>0</v>
      </c>
      <c r="C12" s="615">
        <f>(B12/$M12)*1000000</f>
        <v>0</v>
      </c>
      <c r="D12" s="616">
        <f>F12+H12+J12</f>
        <v>0</v>
      </c>
      <c r="E12" s="615">
        <f t="shared" si="21"/>
        <v>0</v>
      </c>
      <c r="F12" s="616">
        <f>R12+AD12</f>
        <v>0</v>
      </c>
      <c r="G12" s="615">
        <f>(F12/$M12)*1000000</f>
        <v>0</v>
      </c>
      <c r="H12" s="616">
        <f>T12+AF12</f>
        <v>0</v>
      </c>
      <c r="I12" s="615">
        <f>(H12/$M12)*1000000</f>
        <v>0</v>
      </c>
      <c r="J12" s="616">
        <f>V12+AH12</f>
        <v>0</v>
      </c>
      <c r="K12" s="615">
        <f>(J12/$M12)*1000000</f>
        <v>0</v>
      </c>
      <c r="L12" s="627">
        <f t="shared" si="17"/>
        <v>0</v>
      </c>
      <c r="M12" s="617">
        <f t="shared" si="17"/>
        <v>310363</v>
      </c>
      <c r="N12" s="618">
        <v>0</v>
      </c>
      <c r="O12" s="619">
        <f>(N12/$Y12)*1000000</f>
        <v>0</v>
      </c>
      <c r="P12" s="620">
        <f t="shared" si="18"/>
        <v>0</v>
      </c>
      <c r="Q12" s="619">
        <f>(P12/$Y12)*1000000</f>
        <v>0</v>
      </c>
      <c r="R12" s="620">
        <v>0</v>
      </c>
      <c r="S12" s="619">
        <f>(R12/$Y12)*1000000</f>
        <v>0</v>
      </c>
      <c r="T12" s="620">
        <v>0</v>
      </c>
      <c r="U12" s="619">
        <f>(T12/$Y12)*1000000</f>
        <v>0</v>
      </c>
      <c r="V12" s="620">
        <v>0</v>
      </c>
      <c r="W12" s="619">
        <f>(V12/$Y12)*1000000</f>
        <v>0</v>
      </c>
      <c r="X12" s="620">
        <v>0</v>
      </c>
      <c r="Y12" s="621">
        <v>63137</v>
      </c>
      <c r="Z12" s="618">
        <v>0</v>
      </c>
      <c r="AA12" s="622">
        <f>(Z12/$AK12)*1000000</f>
        <v>0</v>
      </c>
      <c r="AB12" s="623">
        <f>AD12+AF12+AH12</f>
        <v>0</v>
      </c>
      <c r="AC12" s="619">
        <f>(AB12/$AK12)*1000000</f>
        <v>0</v>
      </c>
      <c r="AD12" s="624">
        <v>0</v>
      </c>
      <c r="AE12" s="619">
        <f>(AD12/$AK12)*1000000</f>
        <v>0</v>
      </c>
      <c r="AF12" s="624">
        <v>0</v>
      </c>
      <c r="AG12" s="619">
        <f>(AF12/$AK12)*1000000</f>
        <v>0</v>
      </c>
      <c r="AH12" s="624">
        <v>0</v>
      </c>
      <c r="AI12" s="619">
        <f>(AH12/$AK12)*1000000</f>
        <v>0</v>
      </c>
      <c r="AJ12" s="619">
        <v>0</v>
      </c>
      <c r="AK12" s="621">
        <v>247226</v>
      </c>
    </row>
    <row r="13" spans="1:37" s="613" customFormat="1" x14ac:dyDescent="0.2">
      <c r="A13" s="601" t="s">
        <v>427</v>
      </c>
      <c r="B13" s="614">
        <f t="shared" si="13"/>
        <v>0</v>
      </c>
      <c r="C13" s="615">
        <f t="shared" si="0"/>
        <v>0</v>
      </c>
      <c r="D13" s="616">
        <f t="shared" si="1"/>
        <v>0</v>
      </c>
      <c r="E13" s="615">
        <f t="shared" si="21"/>
        <v>0</v>
      </c>
      <c r="F13" s="616">
        <f t="shared" si="14"/>
        <v>0</v>
      </c>
      <c r="G13" s="615">
        <f t="shared" si="2"/>
        <v>0</v>
      </c>
      <c r="H13" s="616">
        <f t="shared" si="15"/>
        <v>0</v>
      </c>
      <c r="I13" s="615">
        <f t="shared" si="3"/>
        <v>0</v>
      </c>
      <c r="J13" s="616">
        <f t="shared" si="16"/>
        <v>0</v>
      </c>
      <c r="K13" s="615">
        <f t="shared" si="4"/>
        <v>0</v>
      </c>
      <c r="L13" s="627">
        <f t="shared" si="17"/>
        <v>0</v>
      </c>
      <c r="M13" s="617">
        <f t="shared" si="17"/>
        <v>50581</v>
      </c>
      <c r="N13" s="618">
        <v>0</v>
      </c>
      <c r="O13" s="619">
        <f t="shared" si="9"/>
        <v>0</v>
      </c>
      <c r="P13" s="620">
        <f t="shared" si="18"/>
        <v>0</v>
      </c>
      <c r="Q13" s="619">
        <f t="shared" si="10"/>
        <v>0</v>
      </c>
      <c r="R13" s="620">
        <v>0</v>
      </c>
      <c r="S13" s="619">
        <f t="shared" si="11"/>
        <v>0</v>
      </c>
      <c r="T13" s="620">
        <v>0</v>
      </c>
      <c r="U13" s="619">
        <f t="shared" si="20"/>
        <v>0</v>
      </c>
      <c r="V13" s="620">
        <v>0</v>
      </c>
      <c r="W13" s="619">
        <f t="shared" si="12"/>
        <v>0</v>
      </c>
      <c r="X13" s="620">
        <v>0</v>
      </c>
      <c r="Y13" s="621">
        <v>6480</v>
      </c>
      <c r="Z13" s="618">
        <v>0</v>
      </c>
      <c r="AA13" s="622">
        <f t="shared" si="5"/>
        <v>0</v>
      </c>
      <c r="AB13" s="623">
        <f>AD13+AF13+AH13</f>
        <v>0</v>
      </c>
      <c r="AC13" s="619">
        <f t="shared" si="5"/>
        <v>0</v>
      </c>
      <c r="AD13" s="624">
        <v>0</v>
      </c>
      <c r="AE13" s="619">
        <f t="shared" ref="AE13:AE19" si="25">(AD13/$AK13)*1000000</f>
        <v>0</v>
      </c>
      <c r="AF13" s="624">
        <v>0</v>
      </c>
      <c r="AG13" s="619">
        <f t="shared" ref="AG13:AG19" si="26">(AF13/$AK13)*1000000</f>
        <v>0</v>
      </c>
      <c r="AH13" s="624">
        <v>0</v>
      </c>
      <c r="AI13" s="619">
        <f t="shared" ref="AI13:AI19" si="27">(AH13/$AK13)*1000000</f>
        <v>0</v>
      </c>
      <c r="AJ13" s="619">
        <v>0</v>
      </c>
      <c r="AK13" s="621">
        <v>44101</v>
      </c>
    </row>
    <row r="14" spans="1:37" s="578" customFormat="1" x14ac:dyDescent="0.2">
      <c r="A14" s="583" t="s">
        <v>428</v>
      </c>
      <c r="B14" s="71">
        <f t="shared" si="13"/>
        <v>0</v>
      </c>
      <c r="C14" s="72">
        <f t="shared" si="0"/>
        <v>0</v>
      </c>
      <c r="D14" s="73">
        <f t="shared" si="1"/>
        <v>14</v>
      </c>
      <c r="E14" s="72">
        <f t="shared" si="21"/>
        <v>8.3884868856343378</v>
      </c>
      <c r="F14" s="73">
        <f t="shared" si="14"/>
        <v>2</v>
      </c>
      <c r="G14" s="72">
        <f t="shared" si="2"/>
        <v>1.1983552693763337</v>
      </c>
      <c r="H14" s="73">
        <f t="shared" si="15"/>
        <v>7</v>
      </c>
      <c r="I14" s="72">
        <f t="shared" si="3"/>
        <v>4.1942434428171689</v>
      </c>
      <c r="J14" s="73">
        <f t="shared" si="16"/>
        <v>5</v>
      </c>
      <c r="K14" s="72">
        <f t="shared" si="4"/>
        <v>2.995888173440834</v>
      </c>
      <c r="L14" s="74">
        <f t="shared" si="17"/>
        <v>0</v>
      </c>
      <c r="M14" s="75">
        <f>Y14+AK14</f>
        <v>1668954.15</v>
      </c>
      <c r="N14" s="584">
        <f>SUM(N15:N16)</f>
        <v>0</v>
      </c>
      <c r="O14" s="585">
        <f t="shared" si="9"/>
        <v>0</v>
      </c>
      <c r="P14" s="76">
        <f t="shared" si="18"/>
        <v>3</v>
      </c>
      <c r="Q14" s="585">
        <f t="shared" si="10"/>
        <v>3.0683725454298125</v>
      </c>
      <c r="R14" s="76">
        <f>SUM(R15:R16)</f>
        <v>0</v>
      </c>
      <c r="S14" s="585">
        <f t="shared" si="11"/>
        <v>0</v>
      </c>
      <c r="T14" s="76">
        <f>SUM(T15:T16)</f>
        <v>2</v>
      </c>
      <c r="U14" s="585">
        <f t="shared" si="20"/>
        <v>2.0455816969532084</v>
      </c>
      <c r="V14" s="76">
        <f>SUM(V15:V16)</f>
        <v>1</v>
      </c>
      <c r="W14" s="585">
        <f t="shared" si="12"/>
        <v>1.0227908484766042</v>
      </c>
      <c r="X14" s="76">
        <f>SUM(X15:X16)</f>
        <v>0</v>
      </c>
      <c r="Y14" s="77">
        <f>SUM(Y15:Y16)</f>
        <v>977717</v>
      </c>
      <c r="Z14" s="584">
        <f>SUM(Z15:Z16)</f>
        <v>0</v>
      </c>
      <c r="AA14" s="586">
        <f t="shared" si="5"/>
        <v>0</v>
      </c>
      <c r="AB14" s="78">
        <f>SUM(AD14,AF14,AH14)</f>
        <v>11</v>
      </c>
      <c r="AC14" s="585">
        <f t="shared" si="5"/>
        <v>15.913496547458422</v>
      </c>
      <c r="AD14" s="79">
        <f>SUM(AD15:AD16)</f>
        <v>2</v>
      </c>
      <c r="AE14" s="585">
        <f t="shared" si="25"/>
        <v>2.8933630086288038</v>
      </c>
      <c r="AF14" s="79">
        <f>SUM(AF15:AF16)</f>
        <v>5</v>
      </c>
      <c r="AG14" s="585">
        <f t="shared" si="26"/>
        <v>7.2334075215720102</v>
      </c>
      <c r="AH14" s="79">
        <f>SUM(AH15:AH16)</f>
        <v>4</v>
      </c>
      <c r="AI14" s="585">
        <f t="shared" si="27"/>
        <v>5.7867260172576076</v>
      </c>
      <c r="AJ14" s="585">
        <f>SUM(AJ15:AJ16)</f>
        <v>0</v>
      </c>
      <c r="AK14" s="77">
        <f>SUM(AK15:AK16)</f>
        <v>691237.15</v>
      </c>
    </row>
    <row r="15" spans="1:37" s="613" customFormat="1" x14ac:dyDescent="0.2">
      <c r="A15" s="601" t="s">
        <v>429</v>
      </c>
      <c r="B15" s="614">
        <f t="shared" si="13"/>
        <v>0</v>
      </c>
      <c r="C15" s="615">
        <f t="shared" si="0"/>
        <v>0</v>
      </c>
      <c r="D15" s="616">
        <f t="shared" si="1"/>
        <v>12</v>
      </c>
      <c r="E15" s="615">
        <f t="shared" si="21"/>
        <v>7.8630505589236526</v>
      </c>
      <c r="F15" s="616">
        <f t="shared" si="14"/>
        <v>1</v>
      </c>
      <c r="G15" s="615">
        <f t="shared" si="2"/>
        <v>0.65525421324363775</v>
      </c>
      <c r="H15" s="616">
        <f t="shared" si="15"/>
        <v>6</v>
      </c>
      <c r="I15" s="615">
        <f t="shared" si="3"/>
        <v>3.9315252794618263</v>
      </c>
      <c r="J15" s="616">
        <f t="shared" si="16"/>
        <v>5</v>
      </c>
      <c r="K15" s="615">
        <f t="shared" si="4"/>
        <v>3.2762710662181886</v>
      </c>
      <c r="L15" s="627">
        <f t="shared" si="17"/>
        <v>0</v>
      </c>
      <c r="M15" s="617">
        <f t="shared" si="17"/>
        <v>1526125.25</v>
      </c>
      <c r="N15" s="618">
        <v>0</v>
      </c>
      <c r="O15" s="619">
        <f t="shared" si="9"/>
        <v>0</v>
      </c>
      <c r="P15" s="620">
        <f t="shared" si="18"/>
        <v>3</v>
      </c>
      <c r="Q15" s="619">
        <f t="shared" si="10"/>
        <v>3.2070735213587089</v>
      </c>
      <c r="R15" s="620">
        <v>0</v>
      </c>
      <c r="S15" s="619">
        <f t="shared" si="11"/>
        <v>0</v>
      </c>
      <c r="T15" s="620">
        <v>2</v>
      </c>
      <c r="U15" s="619">
        <f t="shared" si="20"/>
        <v>2.1380490142391393</v>
      </c>
      <c r="V15" s="620">
        <v>1</v>
      </c>
      <c r="W15" s="619">
        <f t="shared" si="12"/>
        <v>1.0690245071195696</v>
      </c>
      <c r="X15" s="620">
        <v>0</v>
      </c>
      <c r="Y15" s="621">
        <v>935432.25</v>
      </c>
      <c r="Z15" s="618">
        <v>0</v>
      </c>
      <c r="AA15" s="622">
        <f t="shared" si="5"/>
        <v>0</v>
      </c>
      <c r="AB15" s="623">
        <f>AD15+AF15+AH15</f>
        <v>9</v>
      </c>
      <c r="AC15" s="619">
        <f t="shared" si="5"/>
        <v>15.23634104348621</v>
      </c>
      <c r="AD15" s="624">
        <v>1</v>
      </c>
      <c r="AE15" s="619">
        <f t="shared" si="25"/>
        <v>1.6929267826095791</v>
      </c>
      <c r="AF15" s="624">
        <v>4</v>
      </c>
      <c r="AG15" s="619">
        <f t="shared" si="26"/>
        <v>6.7717071304383163</v>
      </c>
      <c r="AH15" s="624">
        <v>4</v>
      </c>
      <c r="AI15" s="619">
        <f t="shared" si="27"/>
        <v>6.7717071304383163</v>
      </c>
      <c r="AJ15" s="619">
        <v>0</v>
      </c>
      <c r="AK15" s="621">
        <v>590693</v>
      </c>
    </row>
    <row r="16" spans="1:37" s="613" customFormat="1" x14ac:dyDescent="0.2">
      <c r="A16" s="601" t="s">
        <v>427</v>
      </c>
      <c r="B16" s="614">
        <f t="shared" si="13"/>
        <v>0</v>
      </c>
      <c r="C16" s="615">
        <f t="shared" si="0"/>
        <v>0</v>
      </c>
      <c r="D16" s="616">
        <f t="shared" si="1"/>
        <v>2</v>
      </c>
      <c r="E16" s="615">
        <f t="shared" si="21"/>
        <v>14.002768347302261</v>
      </c>
      <c r="F16" s="616">
        <f t="shared" si="14"/>
        <v>1</v>
      </c>
      <c r="G16" s="615">
        <f t="shared" si="2"/>
        <v>7.0013841736511306</v>
      </c>
      <c r="H16" s="616">
        <f t="shared" si="15"/>
        <v>1</v>
      </c>
      <c r="I16" s="615">
        <f t="shared" si="3"/>
        <v>7.0013841736511306</v>
      </c>
      <c r="J16" s="616">
        <f t="shared" si="16"/>
        <v>0</v>
      </c>
      <c r="K16" s="615">
        <f t="shared" si="4"/>
        <v>0</v>
      </c>
      <c r="L16" s="627">
        <f t="shared" si="17"/>
        <v>0</v>
      </c>
      <c r="M16" s="617">
        <f t="shared" si="17"/>
        <v>142828.9</v>
      </c>
      <c r="N16" s="618">
        <v>0</v>
      </c>
      <c r="O16" s="619">
        <f t="shared" si="9"/>
        <v>0</v>
      </c>
      <c r="P16" s="620">
        <f t="shared" si="18"/>
        <v>0</v>
      </c>
      <c r="Q16" s="619">
        <f t="shared" si="10"/>
        <v>0</v>
      </c>
      <c r="R16" s="620">
        <v>0</v>
      </c>
      <c r="S16" s="619">
        <f t="shared" si="11"/>
        <v>0</v>
      </c>
      <c r="T16" s="620">
        <v>0</v>
      </c>
      <c r="U16" s="619">
        <f t="shared" si="20"/>
        <v>0</v>
      </c>
      <c r="V16" s="620">
        <v>0</v>
      </c>
      <c r="W16" s="619">
        <f t="shared" si="12"/>
        <v>0</v>
      </c>
      <c r="X16" s="620">
        <v>0</v>
      </c>
      <c r="Y16" s="621">
        <f>'[1]Closure '!$R$8</f>
        <v>42284.75</v>
      </c>
      <c r="Z16" s="618">
        <v>0</v>
      </c>
      <c r="AA16" s="622">
        <f t="shared" si="5"/>
        <v>0</v>
      </c>
      <c r="AB16" s="623">
        <f>AD16+AF16+AH16</f>
        <v>2</v>
      </c>
      <c r="AC16" s="619">
        <f t="shared" si="5"/>
        <v>19.891758993437211</v>
      </c>
      <c r="AD16" s="624">
        <v>1</v>
      </c>
      <c r="AE16" s="619">
        <f t="shared" si="25"/>
        <v>9.9458794967186055</v>
      </c>
      <c r="AF16" s="624">
        <v>1</v>
      </c>
      <c r="AG16" s="619">
        <f t="shared" si="26"/>
        <v>9.9458794967186055</v>
      </c>
      <c r="AH16" s="624">
        <v>0</v>
      </c>
      <c r="AI16" s="619">
        <f t="shared" si="27"/>
        <v>0</v>
      </c>
      <c r="AJ16" s="619">
        <v>0</v>
      </c>
      <c r="AK16" s="621">
        <f>'[1]Closure '!$AH$8</f>
        <v>100544.15</v>
      </c>
    </row>
    <row r="17" spans="1:37" s="578" customFormat="1" x14ac:dyDescent="0.2">
      <c r="A17" s="583" t="s">
        <v>432</v>
      </c>
      <c r="B17" s="71">
        <f t="shared" si="13"/>
        <v>0</v>
      </c>
      <c r="C17" s="72">
        <f t="shared" si="0"/>
        <v>0</v>
      </c>
      <c r="D17" s="73">
        <f t="shared" si="1"/>
        <v>41</v>
      </c>
      <c r="E17" s="72">
        <f t="shared" si="21"/>
        <v>3.7424751410127897</v>
      </c>
      <c r="F17" s="73">
        <f t="shared" si="14"/>
        <v>13</v>
      </c>
      <c r="G17" s="72">
        <f>(F17/$M17)*1000000</f>
        <v>1.1866384593455186</v>
      </c>
      <c r="H17" s="73">
        <f t="shared" si="15"/>
        <v>7</v>
      </c>
      <c r="I17" s="72">
        <f t="shared" si="3"/>
        <v>0.63895917041681771</v>
      </c>
      <c r="J17" s="73">
        <f t="shared" si="16"/>
        <v>21</v>
      </c>
      <c r="K17" s="72">
        <f t="shared" si="4"/>
        <v>1.9168775112504528</v>
      </c>
      <c r="L17" s="74">
        <f t="shared" si="17"/>
        <v>2</v>
      </c>
      <c r="M17" s="75">
        <f>Y17+AK17</f>
        <v>10955316.59</v>
      </c>
      <c r="N17" s="584">
        <f>SUM(N18:N24)</f>
        <v>0</v>
      </c>
      <c r="O17" s="585">
        <f t="shared" si="9"/>
        <v>0</v>
      </c>
      <c r="P17" s="76">
        <f>R17+T17+V17</f>
        <v>28</v>
      </c>
      <c r="Q17" s="585">
        <f t="shared" si="10"/>
        <v>3.4090144317813533</v>
      </c>
      <c r="R17" s="76">
        <f>SUM(R18:R24)</f>
        <v>10</v>
      </c>
      <c r="S17" s="585">
        <f t="shared" si="11"/>
        <v>1.2175051542076263</v>
      </c>
      <c r="T17" s="76">
        <f>SUM(T18:T24)</f>
        <v>3</v>
      </c>
      <c r="U17" s="585">
        <f t="shared" si="20"/>
        <v>0.36525154626228784</v>
      </c>
      <c r="V17" s="76">
        <f>SUM(V18:V24)</f>
        <v>15</v>
      </c>
      <c r="W17" s="585">
        <f t="shared" si="12"/>
        <v>1.8262577313114392</v>
      </c>
      <c r="X17" s="76">
        <f>SUM(X18:X24)</f>
        <v>1</v>
      </c>
      <c r="Y17" s="77">
        <f>SUM(Y18:Y24)</f>
        <v>8213517.5899999999</v>
      </c>
      <c r="Z17" s="584">
        <f>SUM(Z18:Z24)</f>
        <v>0</v>
      </c>
      <c r="AA17" s="586">
        <f t="shared" si="5"/>
        <v>0</v>
      </c>
      <c r="AB17" s="78">
        <f>SUM(AD17,AF17,AH17)</f>
        <v>13</v>
      </c>
      <c r="AC17" s="585">
        <f t="shared" si="5"/>
        <v>4.7414124813671608</v>
      </c>
      <c r="AD17" s="79">
        <f>SUM(AD18:AD24)</f>
        <v>3</v>
      </c>
      <c r="AE17" s="585">
        <f t="shared" si="25"/>
        <v>1.0941721110847293</v>
      </c>
      <c r="AF17" s="79">
        <f>SUM(AF18:AF24)</f>
        <v>4</v>
      </c>
      <c r="AG17" s="585">
        <f t="shared" si="26"/>
        <v>1.4588961481129725</v>
      </c>
      <c r="AH17" s="79">
        <f>SUM(AH18:AH24)</f>
        <v>6</v>
      </c>
      <c r="AI17" s="585">
        <f t="shared" si="27"/>
        <v>2.1883442221694587</v>
      </c>
      <c r="AJ17" s="585">
        <f>SUM(AJ18:AJ24)</f>
        <v>1</v>
      </c>
      <c r="AK17" s="77">
        <f>SUM(AK18:AK24)</f>
        <v>2741799</v>
      </c>
    </row>
    <row r="18" spans="1:37" s="613" customFormat="1" x14ac:dyDescent="0.2">
      <c r="A18" s="601" t="s">
        <v>478</v>
      </c>
      <c r="B18" s="614">
        <f t="shared" si="13"/>
        <v>0</v>
      </c>
      <c r="C18" s="615">
        <f t="shared" si="0"/>
        <v>0</v>
      </c>
      <c r="D18" s="616">
        <f t="shared" si="1"/>
        <v>15</v>
      </c>
      <c r="E18" s="615">
        <f t="shared" si="21"/>
        <v>3.8049047759164747</v>
      </c>
      <c r="F18" s="616">
        <f t="shared" si="14"/>
        <v>6</v>
      </c>
      <c r="G18" s="615">
        <f t="shared" si="2"/>
        <v>1.5219619103665898</v>
      </c>
      <c r="H18" s="616">
        <f t="shared" si="15"/>
        <v>4</v>
      </c>
      <c r="I18" s="615">
        <f t="shared" si="3"/>
        <v>1.0146412735777266</v>
      </c>
      <c r="J18" s="616">
        <f t="shared" si="16"/>
        <v>5</v>
      </c>
      <c r="K18" s="615">
        <f t="shared" si="4"/>
        <v>1.2683015919721583</v>
      </c>
      <c r="L18" s="627">
        <f t="shared" si="17"/>
        <v>1</v>
      </c>
      <c r="M18" s="617">
        <f t="shared" si="17"/>
        <v>3942280</v>
      </c>
      <c r="N18" s="618">
        <v>0</v>
      </c>
      <c r="O18" s="619">
        <f t="shared" si="9"/>
        <v>0</v>
      </c>
      <c r="P18" s="620">
        <f t="shared" si="18"/>
        <v>8</v>
      </c>
      <c r="Q18" s="619">
        <f t="shared" si="10"/>
        <v>2.7203047285356905</v>
      </c>
      <c r="R18" s="620">
        <v>3</v>
      </c>
      <c r="S18" s="619">
        <f t="shared" si="11"/>
        <v>1.0201142732008841</v>
      </c>
      <c r="T18" s="620">
        <v>1</v>
      </c>
      <c r="U18" s="619">
        <f t="shared" si="20"/>
        <v>0.34003809106696131</v>
      </c>
      <c r="V18" s="620">
        <v>4</v>
      </c>
      <c r="W18" s="619">
        <f t="shared" si="12"/>
        <v>1.3601523642678452</v>
      </c>
      <c r="X18" s="620">
        <v>1</v>
      </c>
      <c r="Y18" s="621">
        <v>2940847</v>
      </c>
      <c r="Z18" s="618">
        <v>0</v>
      </c>
      <c r="AA18" s="622">
        <f t="shared" si="5"/>
        <v>0</v>
      </c>
      <c r="AB18" s="623">
        <f t="shared" ref="AB18:AB24" si="28">AD18+AF18+AH18</f>
        <v>7</v>
      </c>
      <c r="AC18" s="619">
        <f t="shared" si="5"/>
        <v>6.9899833538539271</v>
      </c>
      <c r="AD18" s="624">
        <v>3</v>
      </c>
      <c r="AE18" s="619">
        <f t="shared" si="25"/>
        <v>2.9957071516516831</v>
      </c>
      <c r="AF18" s="624">
        <v>3</v>
      </c>
      <c r="AG18" s="619">
        <f t="shared" si="26"/>
        <v>2.9957071516516831</v>
      </c>
      <c r="AH18" s="624">
        <v>1</v>
      </c>
      <c r="AI18" s="619">
        <f t="shared" si="27"/>
        <v>0.99856905055056111</v>
      </c>
      <c r="AJ18" s="619">
        <v>0</v>
      </c>
      <c r="AK18" s="621">
        <v>1001433</v>
      </c>
    </row>
    <row r="19" spans="1:37" s="613" customFormat="1" x14ac:dyDescent="0.2">
      <c r="A19" s="601" t="s">
        <v>480</v>
      </c>
      <c r="B19" s="614">
        <f t="shared" si="13"/>
        <v>0</v>
      </c>
      <c r="C19" s="615">
        <f t="shared" si="0"/>
        <v>0</v>
      </c>
      <c r="D19" s="616">
        <f t="shared" si="1"/>
        <v>16</v>
      </c>
      <c r="E19" s="615">
        <f t="shared" si="21"/>
        <v>3.3363443841400198</v>
      </c>
      <c r="F19" s="616">
        <f t="shared" si="14"/>
        <v>3</v>
      </c>
      <c r="G19" s="615">
        <f t="shared" si="2"/>
        <v>0.62556457202625371</v>
      </c>
      <c r="H19" s="616">
        <f t="shared" si="15"/>
        <v>3</v>
      </c>
      <c r="I19" s="615">
        <f t="shared" si="3"/>
        <v>0.62556457202625371</v>
      </c>
      <c r="J19" s="616">
        <f t="shared" si="16"/>
        <v>10</v>
      </c>
      <c r="K19" s="615">
        <f t="shared" si="4"/>
        <v>2.0852152400875124</v>
      </c>
      <c r="L19" s="627">
        <f t="shared" si="17"/>
        <v>0</v>
      </c>
      <c r="M19" s="617">
        <f t="shared" si="17"/>
        <v>4795668</v>
      </c>
      <c r="N19" s="618">
        <v>0</v>
      </c>
      <c r="O19" s="619">
        <f t="shared" si="9"/>
        <v>0</v>
      </c>
      <c r="P19" s="620">
        <f t="shared" si="18"/>
        <v>13</v>
      </c>
      <c r="Q19" s="619">
        <f t="shared" si="10"/>
        <v>3.2725486785322571</v>
      </c>
      <c r="R19" s="620">
        <v>3</v>
      </c>
      <c r="S19" s="619">
        <f t="shared" si="11"/>
        <v>0.75520354119975153</v>
      </c>
      <c r="T19" s="620">
        <v>2</v>
      </c>
      <c r="U19" s="619">
        <f t="shared" si="20"/>
        <v>0.50346902746650113</v>
      </c>
      <c r="V19" s="620">
        <v>8</v>
      </c>
      <c r="W19" s="619">
        <f t="shared" si="12"/>
        <v>2.0138761098660045</v>
      </c>
      <c r="X19" s="619">
        <v>0</v>
      </c>
      <c r="Y19" s="621">
        <v>3972439</v>
      </c>
      <c r="Z19" s="618">
        <v>0</v>
      </c>
      <c r="AA19" s="622">
        <f t="shared" si="5"/>
        <v>0</v>
      </c>
      <c r="AB19" s="623">
        <f t="shared" si="28"/>
        <v>3</v>
      </c>
      <c r="AC19" s="619">
        <f t="shared" si="5"/>
        <v>3.6441864900288983</v>
      </c>
      <c r="AD19" s="624">
        <v>0</v>
      </c>
      <c r="AE19" s="619">
        <f t="shared" si="25"/>
        <v>0</v>
      </c>
      <c r="AF19" s="624">
        <v>1</v>
      </c>
      <c r="AG19" s="619">
        <f t="shared" si="26"/>
        <v>1.2147288300096328</v>
      </c>
      <c r="AH19" s="624">
        <v>2</v>
      </c>
      <c r="AI19" s="619">
        <f t="shared" si="27"/>
        <v>2.4294576600192657</v>
      </c>
      <c r="AJ19" s="619">
        <v>0</v>
      </c>
      <c r="AK19" s="621">
        <v>823229</v>
      </c>
    </row>
    <row r="20" spans="1:37" s="613" customFormat="1" x14ac:dyDescent="0.2">
      <c r="A20" s="601" t="s">
        <v>434</v>
      </c>
      <c r="B20" s="614">
        <f>N20+Z20</f>
        <v>0</v>
      </c>
      <c r="C20" s="615">
        <f>(B20/$M20)*1000000</f>
        <v>0</v>
      </c>
      <c r="D20" s="616">
        <f>F20+H20+J20</f>
        <v>7</v>
      </c>
      <c r="E20" s="615">
        <f t="shared" si="21"/>
        <v>4.9239634529364054</v>
      </c>
      <c r="F20" s="616">
        <f>R20+AD20</f>
        <v>3</v>
      </c>
      <c r="G20" s="615">
        <f>(F20/$M20)*1000000</f>
        <v>2.1102700512584596</v>
      </c>
      <c r="H20" s="616">
        <f>T20+AF20</f>
        <v>0</v>
      </c>
      <c r="I20" s="615">
        <f>(H20/$M20)*1000000</f>
        <v>0</v>
      </c>
      <c r="J20" s="616">
        <f>V20+AH20</f>
        <v>4</v>
      </c>
      <c r="K20" s="615">
        <f>(J20/$M20)*1000000</f>
        <v>2.8136934016779462</v>
      </c>
      <c r="L20" s="615">
        <f t="shared" si="17"/>
        <v>0</v>
      </c>
      <c r="M20" s="617">
        <f t="shared" si="17"/>
        <v>1421619</v>
      </c>
      <c r="N20" s="618">
        <v>0</v>
      </c>
      <c r="O20" s="619">
        <f>(N20/$Y20)*1000000</f>
        <v>0</v>
      </c>
      <c r="P20" s="620">
        <f>R20+T20+V20</f>
        <v>6</v>
      </c>
      <c r="Q20" s="619">
        <f>(P20/$Y20)*1000000</f>
        <v>5.874842358396716</v>
      </c>
      <c r="R20" s="620">
        <v>3</v>
      </c>
      <c r="S20" s="619">
        <f>(R20/$Y20)*1000000</f>
        <v>2.937421179198358</v>
      </c>
      <c r="T20" s="620">
        <v>0</v>
      </c>
      <c r="U20" s="619">
        <f>(T20/$Y20)*1000000</f>
        <v>0</v>
      </c>
      <c r="V20" s="620">
        <v>3</v>
      </c>
      <c r="W20" s="619">
        <f>(V20/$Y20)*1000000</f>
        <v>2.937421179198358</v>
      </c>
      <c r="X20" s="619">
        <v>0</v>
      </c>
      <c r="Y20" s="621">
        <v>1021304</v>
      </c>
      <c r="Z20" s="618">
        <v>0</v>
      </c>
      <c r="AA20" s="622">
        <f>(Z20/$AK20)*1000000</f>
        <v>0</v>
      </c>
      <c r="AB20" s="623">
        <f t="shared" si="28"/>
        <v>1</v>
      </c>
      <c r="AC20" s="619">
        <f>(AB20/$AK20)*1000000</f>
        <v>2.498032799170653</v>
      </c>
      <c r="AD20" s="624">
        <v>0</v>
      </c>
      <c r="AE20" s="619">
        <f>(AD20/$AK20)*1000000</f>
        <v>0</v>
      </c>
      <c r="AF20" s="624">
        <v>0</v>
      </c>
      <c r="AG20" s="619">
        <f>(AF20/$AK20)*1000000</f>
        <v>0</v>
      </c>
      <c r="AH20" s="624">
        <v>1</v>
      </c>
      <c r="AI20" s="619">
        <f>(AH20/$AK20)*1000000</f>
        <v>2.498032799170653</v>
      </c>
      <c r="AJ20" s="619">
        <v>0</v>
      </c>
      <c r="AK20" s="621">
        <v>400315</v>
      </c>
    </row>
    <row r="21" spans="1:37" s="613" customFormat="1" x14ac:dyDescent="0.2">
      <c r="A21" s="601" t="s">
        <v>422</v>
      </c>
      <c r="B21" s="614">
        <f>N21+Z21</f>
        <v>0</v>
      </c>
      <c r="C21" s="615">
        <f>(B21/$M21)*1000000</f>
        <v>0</v>
      </c>
      <c r="D21" s="616">
        <f>F21+H21+J21</f>
        <v>1</v>
      </c>
      <c r="E21" s="615">
        <f t="shared" si="21"/>
        <v>3.0349289978360958</v>
      </c>
      <c r="F21" s="616">
        <f>R21+AD21</f>
        <v>0</v>
      </c>
      <c r="G21" s="615">
        <f>(F21/$M21)*1000000</f>
        <v>0</v>
      </c>
      <c r="H21" s="616">
        <f>T21+AF21</f>
        <v>0</v>
      </c>
      <c r="I21" s="615">
        <f>(H21/$M21)*1000000</f>
        <v>0</v>
      </c>
      <c r="J21" s="616">
        <f>V21+AH21</f>
        <v>1</v>
      </c>
      <c r="K21" s="615">
        <f>(J21/$M21)*1000000</f>
        <v>3.0349289978360958</v>
      </c>
      <c r="L21" s="627">
        <f t="shared" si="17"/>
        <v>0</v>
      </c>
      <c r="M21" s="617">
        <f t="shared" si="17"/>
        <v>329497</v>
      </c>
      <c r="N21" s="618">
        <v>0</v>
      </c>
      <c r="O21" s="619">
        <f>(N21/$Y21)*1000000</f>
        <v>0</v>
      </c>
      <c r="P21" s="620">
        <f>R21+T21+V21</f>
        <v>0</v>
      </c>
      <c r="Q21" s="619">
        <f>(P21/$Y21)*1000000</f>
        <v>0</v>
      </c>
      <c r="R21" s="620">
        <v>0</v>
      </c>
      <c r="S21" s="619">
        <f>(R21/$Y21)*1000000</f>
        <v>0</v>
      </c>
      <c r="T21" s="620">
        <v>0</v>
      </c>
      <c r="U21" s="619">
        <f>(T21/$Y21)*1000000</f>
        <v>0</v>
      </c>
      <c r="V21" s="620">
        <v>0</v>
      </c>
      <c r="W21" s="619">
        <f>(V21/$Y21)*1000000</f>
        <v>0</v>
      </c>
      <c r="X21" s="619">
        <v>0</v>
      </c>
      <c r="Y21" s="621">
        <v>64874</v>
      </c>
      <c r="Z21" s="618">
        <v>0</v>
      </c>
      <c r="AA21" s="622">
        <f>(Z21/$AK21)*1000000</f>
        <v>0</v>
      </c>
      <c r="AB21" s="623">
        <f t="shared" si="28"/>
        <v>1</v>
      </c>
      <c r="AC21" s="619">
        <f>(AB21/$AK21)*1000000</f>
        <v>3.7789610124592343</v>
      </c>
      <c r="AD21" s="624">
        <v>0</v>
      </c>
      <c r="AE21" s="619">
        <f>(AD21/$AK21)*1000000</f>
        <v>0</v>
      </c>
      <c r="AF21" s="624">
        <v>0</v>
      </c>
      <c r="AG21" s="619">
        <f>(AF21/$AK21)*1000000</f>
        <v>0</v>
      </c>
      <c r="AH21" s="624">
        <v>1</v>
      </c>
      <c r="AI21" s="619">
        <f>(AH21/$AK21)*1000000</f>
        <v>3.7789610124592343</v>
      </c>
      <c r="AJ21" s="619">
        <v>0</v>
      </c>
      <c r="AK21" s="621">
        <v>264623</v>
      </c>
    </row>
    <row r="22" spans="1:37" s="613" customFormat="1" x14ac:dyDescent="0.2">
      <c r="A22" s="601" t="s">
        <v>438</v>
      </c>
      <c r="B22" s="614">
        <f>N22+Z22</f>
        <v>0</v>
      </c>
      <c r="C22" s="615">
        <f>(B22/$M22)*1000000</f>
        <v>0</v>
      </c>
      <c r="D22" s="616">
        <f>F22+H22+J22</f>
        <v>1</v>
      </c>
      <c r="E22" s="615">
        <f t="shared" si="21"/>
        <v>3.17098925351742</v>
      </c>
      <c r="F22" s="616">
        <f>R22+AD22</f>
        <v>0</v>
      </c>
      <c r="G22" s="615">
        <f>(F22/$M22)*1000000</f>
        <v>0</v>
      </c>
      <c r="H22" s="616">
        <f>T22+AF22</f>
        <v>0</v>
      </c>
      <c r="I22" s="615">
        <f>(H22/$M22)*1000000</f>
        <v>0</v>
      </c>
      <c r="J22" s="616">
        <f>V22+AH22</f>
        <v>1</v>
      </c>
      <c r="K22" s="615">
        <f>(J22/$M22)*1000000</f>
        <v>3.17098925351742</v>
      </c>
      <c r="L22" s="627">
        <f t="shared" ref="L22:M36" si="29">X22+AJ22</f>
        <v>0</v>
      </c>
      <c r="M22" s="617">
        <f t="shared" si="29"/>
        <v>315359</v>
      </c>
      <c r="N22" s="618">
        <v>0</v>
      </c>
      <c r="O22" s="619">
        <f>(N22/$Y22)*1000000</f>
        <v>0</v>
      </c>
      <c r="P22" s="620">
        <f>R22+T22+V22</f>
        <v>0</v>
      </c>
      <c r="Q22" s="619">
        <f>(P22/$Y22)*1000000</f>
        <v>0</v>
      </c>
      <c r="R22" s="620">
        <v>0</v>
      </c>
      <c r="S22" s="619">
        <f>(R22/$Y22)*1000000</f>
        <v>0</v>
      </c>
      <c r="T22" s="620">
        <v>0</v>
      </c>
      <c r="U22" s="619">
        <f>(T22/$Y22)*1000000</f>
        <v>0</v>
      </c>
      <c r="V22" s="620">
        <v>0</v>
      </c>
      <c r="W22" s="619">
        <f>(V22/$Y22)*1000000</f>
        <v>0</v>
      </c>
      <c r="X22" s="619">
        <v>0</v>
      </c>
      <c r="Y22" s="621">
        <v>121123</v>
      </c>
      <c r="Z22" s="618">
        <v>0</v>
      </c>
      <c r="AA22" s="622">
        <f>(Z22/$AK22)*1000000</f>
        <v>0</v>
      </c>
      <c r="AB22" s="623">
        <f t="shared" si="28"/>
        <v>1</v>
      </c>
      <c r="AC22" s="619">
        <f>(AB22/$AK22)*1000000</f>
        <v>5.148376202145843</v>
      </c>
      <c r="AD22" s="624">
        <v>0</v>
      </c>
      <c r="AE22" s="619">
        <f>(AD22/$AK22)*1000000</f>
        <v>0</v>
      </c>
      <c r="AF22" s="624">
        <v>0</v>
      </c>
      <c r="AG22" s="619">
        <f>(AF22/$AK22)*1000000</f>
        <v>0</v>
      </c>
      <c r="AH22" s="624">
        <v>1</v>
      </c>
      <c r="AI22" s="619">
        <f>(AH22/$AK22)*1000000</f>
        <v>5.148376202145843</v>
      </c>
      <c r="AJ22" s="619">
        <v>0</v>
      </c>
      <c r="AK22" s="621">
        <v>194236</v>
      </c>
    </row>
    <row r="23" spans="1:37" s="613" customFormat="1" x14ac:dyDescent="0.2">
      <c r="A23" s="601" t="s">
        <v>427</v>
      </c>
      <c r="B23" s="614">
        <f t="shared" si="13"/>
        <v>0</v>
      </c>
      <c r="C23" s="615">
        <f t="shared" si="0"/>
        <v>0</v>
      </c>
      <c r="D23" s="616">
        <f t="shared" si="1"/>
        <v>1</v>
      </c>
      <c r="E23" s="615">
        <f t="shared" si="21"/>
        <v>7.8750953181849583</v>
      </c>
      <c r="F23" s="616">
        <f t="shared" si="14"/>
        <v>1</v>
      </c>
      <c r="G23" s="615">
        <f t="shared" si="2"/>
        <v>7.8750953181849583</v>
      </c>
      <c r="H23" s="616">
        <f t="shared" si="15"/>
        <v>0</v>
      </c>
      <c r="I23" s="615">
        <f t="shared" si="3"/>
        <v>0</v>
      </c>
      <c r="J23" s="616">
        <f t="shared" si="16"/>
        <v>0</v>
      </c>
      <c r="K23" s="615">
        <f t="shared" si="4"/>
        <v>0</v>
      </c>
      <c r="L23" s="627">
        <f t="shared" si="29"/>
        <v>1</v>
      </c>
      <c r="M23" s="617">
        <f t="shared" si="29"/>
        <v>126982.59</v>
      </c>
      <c r="N23" s="618">
        <v>0</v>
      </c>
      <c r="O23" s="619">
        <f t="shared" si="9"/>
        <v>0</v>
      </c>
      <c r="P23" s="620">
        <f t="shared" si="18"/>
        <v>1</v>
      </c>
      <c r="Q23" s="619">
        <f t="shared" si="10"/>
        <v>14.208059123712271</v>
      </c>
      <c r="R23" s="620">
        <v>1</v>
      </c>
      <c r="S23" s="619">
        <f t="shared" si="11"/>
        <v>14.208059123712271</v>
      </c>
      <c r="T23" s="620">
        <v>0</v>
      </c>
      <c r="U23" s="619">
        <f t="shared" si="20"/>
        <v>0</v>
      </c>
      <c r="V23" s="620">
        <v>0</v>
      </c>
      <c r="W23" s="619">
        <f t="shared" si="12"/>
        <v>0</v>
      </c>
      <c r="X23" s="619">
        <v>0</v>
      </c>
      <c r="Y23" s="621">
        <f>'[1]Closure '!$R$18</f>
        <v>70382.59</v>
      </c>
      <c r="Z23" s="618">
        <v>0</v>
      </c>
      <c r="AA23" s="622">
        <f t="shared" si="5"/>
        <v>0</v>
      </c>
      <c r="AB23" s="623">
        <f t="shared" si="28"/>
        <v>0</v>
      </c>
      <c r="AC23" s="619">
        <f t="shared" si="5"/>
        <v>0</v>
      </c>
      <c r="AD23" s="624">
        <v>0</v>
      </c>
      <c r="AE23" s="619">
        <f t="shared" ref="AE23:AE27" si="30">(AD23/$AK23)*1000000</f>
        <v>0</v>
      </c>
      <c r="AF23" s="624">
        <v>0</v>
      </c>
      <c r="AG23" s="619">
        <f t="shared" ref="AG23:AG27" si="31">(AF23/$AK23)*1000000</f>
        <v>0</v>
      </c>
      <c r="AH23" s="624">
        <v>0</v>
      </c>
      <c r="AI23" s="619">
        <f t="shared" ref="AI23:AI27" si="32">(AH23/$AK23)*1000000</f>
        <v>0</v>
      </c>
      <c r="AJ23" s="619">
        <v>1</v>
      </c>
      <c r="AK23" s="621">
        <f>'[1]Closure '!$AH$18</f>
        <v>56600</v>
      </c>
    </row>
    <row r="24" spans="1:37" s="613" customFormat="1" x14ac:dyDescent="0.2">
      <c r="A24" s="601" t="s">
        <v>437</v>
      </c>
      <c r="B24" s="614">
        <f t="shared" si="13"/>
        <v>0</v>
      </c>
      <c r="C24" s="615">
        <f t="shared" si="0"/>
        <v>0</v>
      </c>
      <c r="D24" s="616">
        <f t="shared" si="1"/>
        <v>0</v>
      </c>
      <c r="E24" s="615">
        <f t="shared" si="21"/>
        <v>0</v>
      </c>
      <c r="F24" s="616">
        <f t="shared" si="14"/>
        <v>0</v>
      </c>
      <c r="G24" s="615">
        <f t="shared" si="2"/>
        <v>0</v>
      </c>
      <c r="H24" s="616">
        <f t="shared" si="15"/>
        <v>0</v>
      </c>
      <c r="I24" s="615">
        <f t="shared" si="3"/>
        <v>0</v>
      </c>
      <c r="J24" s="616">
        <f t="shared" si="16"/>
        <v>0</v>
      </c>
      <c r="K24" s="615">
        <f t="shared" si="4"/>
        <v>0</v>
      </c>
      <c r="L24" s="627">
        <f t="shared" si="29"/>
        <v>0</v>
      </c>
      <c r="M24" s="617">
        <f t="shared" si="29"/>
        <v>23911</v>
      </c>
      <c r="N24" s="618">
        <v>0</v>
      </c>
      <c r="O24" s="619">
        <f t="shared" si="9"/>
        <v>0</v>
      </c>
      <c r="P24" s="620">
        <f t="shared" si="18"/>
        <v>0</v>
      </c>
      <c r="Q24" s="619">
        <f t="shared" si="10"/>
        <v>0</v>
      </c>
      <c r="R24" s="620">
        <v>0</v>
      </c>
      <c r="S24" s="619">
        <f t="shared" si="11"/>
        <v>0</v>
      </c>
      <c r="T24" s="620">
        <v>0</v>
      </c>
      <c r="U24" s="619">
        <f t="shared" si="20"/>
        <v>0</v>
      </c>
      <c r="V24" s="620">
        <v>0</v>
      </c>
      <c r="W24" s="619">
        <f t="shared" si="12"/>
        <v>0</v>
      </c>
      <c r="X24" s="619">
        <v>0</v>
      </c>
      <c r="Y24" s="621">
        <v>22548</v>
      </c>
      <c r="Z24" s="618">
        <v>0</v>
      </c>
      <c r="AA24" s="622">
        <f t="shared" si="5"/>
        <v>0</v>
      </c>
      <c r="AB24" s="623">
        <f t="shared" si="28"/>
        <v>0</v>
      </c>
      <c r="AC24" s="619">
        <f t="shared" si="5"/>
        <v>0</v>
      </c>
      <c r="AD24" s="624">
        <v>0</v>
      </c>
      <c r="AE24" s="619">
        <f t="shared" si="30"/>
        <v>0</v>
      </c>
      <c r="AF24" s="624">
        <v>0</v>
      </c>
      <c r="AG24" s="619">
        <f t="shared" si="31"/>
        <v>0</v>
      </c>
      <c r="AH24" s="624">
        <v>0</v>
      </c>
      <c r="AI24" s="619">
        <f t="shared" si="32"/>
        <v>0</v>
      </c>
      <c r="AJ24" s="619">
        <v>0</v>
      </c>
      <c r="AK24" s="621">
        <v>1363</v>
      </c>
    </row>
    <row r="25" spans="1:37" s="578" customFormat="1" x14ac:dyDescent="0.2">
      <c r="A25" s="583" t="s">
        <v>440</v>
      </c>
      <c r="B25" s="71">
        <f t="shared" si="13"/>
        <v>0</v>
      </c>
      <c r="C25" s="72">
        <f t="shared" si="0"/>
        <v>0</v>
      </c>
      <c r="D25" s="73">
        <f t="shared" si="1"/>
        <v>11</v>
      </c>
      <c r="E25" s="72">
        <f t="shared" si="21"/>
        <v>0.95030024736315433</v>
      </c>
      <c r="F25" s="73">
        <f t="shared" si="14"/>
        <v>3</v>
      </c>
      <c r="G25" s="72">
        <f t="shared" si="2"/>
        <v>0.25917279473540572</v>
      </c>
      <c r="H25" s="73">
        <f t="shared" si="15"/>
        <v>3</v>
      </c>
      <c r="I25" s="72">
        <f t="shared" si="3"/>
        <v>0.25917279473540572</v>
      </c>
      <c r="J25" s="73">
        <f t="shared" si="16"/>
        <v>5</v>
      </c>
      <c r="K25" s="72">
        <f t="shared" si="4"/>
        <v>0.43195465789234294</v>
      </c>
      <c r="L25" s="72">
        <f t="shared" si="29"/>
        <v>0</v>
      </c>
      <c r="M25" s="75">
        <f t="shared" si="29"/>
        <v>11575289</v>
      </c>
      <c r="N25" s="584">
        <f t="shared" ref="N25:X25" si="33">N26</f>
        <v>0</v>
      </c>
      <c r="O25" s="585">
        <f t="shared" si="9"/>
        <v>0</v>
      </c>
      <c r="P25" s="76">
        <f t="shared" si="18"/>
        <v>6</v>
      </c>
      <c r="Q25" s="585">
        <f t="shared" si="10"/>
        <v>1.1548877737805829</v>
      </c>
      <c r="R25" s="76">
        <f t="shared" si="33"/>
        <v>1</v>
      </c>
      <c r="S25" s="585">
        <f t="shared" si="11"/>
        <v>0.19248129563009714</v>
      </c>
      <c r="T25" s="76">
        <f t="shared" si="33"/>
        <v>2</v>
      </c>
      <c r="U25" s="585">
        <f t="shared" si="20"/>
        <v>0.38496259126019428</v>
      </c>
      <c r="V25" s="76">
        <f t="shared" si="33"/>
        <v>3</v>
      </c>
      <c r="W25" s="585">
        <f t="shared" si="12"/>
        <v>0.57744388689029147</v>
      </c>
      <c r="X25" s="585">
        <f t="shared" si="33"/>
        <v>0</v>
      </c>
      <c r="Y25" s="77">
        <f>Y26</f>
        <v>5195310</v>
      </c>
      <c r="Z25" s="584">
        <f t="shared" ref="Z25:AJ25" si="34">Z26</f>
        <v>0</v>
      </c>
      <c r="AA25" s="586">
        <f t="shared" si="5"/>
        <v>0</v>
      </c>
      <c r="AB25" s="78">
        <f>SUM(AD25,AF25,AH25)</f>
        <v>5</v>
      </c>
      <c r="AC25" s="585">
        <f t="shared" si="5"/>
        <v>0.78370163914332636</v>
      </c>
      <c r="AD25" s="79">
        <f t="shared" si="34"/>
        <v>2</v>
      </c>
      <c r="AE25" s="585">
        <f t="shared" si="30"/>
        <v>0.31348065565733052</v>
      </c>
      <c r="AF25" s="79">
        <f t="shared" si="34"/>
        <v>1</v>
      </c>
      <c r="AG25" s="585">
        <f t="shared" si="31"/>
        <v>0.15674032782866526</v>
      </c>
      <c r="AH25" s="79">
        <f t="shared" si="34"/>
        <v>2</v>
      </c>
      <c r="AI25" s="585">
        <f t="shared" si="32"/>
        <v>0.31348065565733052</v>
      </c>
      <c r="AJ25" s="585">
        <f t="shared" si="34"/>
        <v>0</v>
      </c>
      <c r="AK25" s="77">
        <f>AK26</f>
        <v>6379979</v>
      </c>
    </row>
    <row r="26" spans="1:37" s="613" customFormat="1" x14ac:dyDescent="0.2">
      <c r="A26" s="601" t="s">
        <v>441</v>
      </c>
      <c r="B26" s="614">
        <f t="shared" si="13"/>
        <v>0</v>
      </c>
      <c r="C26" s="615">
        <f t="shared" si="0"/>
        <v>0</v>
      </c>
      <c r="D26" s="616">
        <f t="shared" si="1"/>
        <v>11</v>
      </c>
      <c r="E26" s="615">
        <f t="shared" si="21"/>
        <v>0.95030024736315433</v>
      </c>
      <c r="F26" s="616">
        <f t="shared" si="14"/>
        <v>3</v>
      </c>
      <c r="G26" s="615">
        <f t="shared" si="2"/>
        <v>0.25917279473540572</v>
      </c>
      <c r="H26" s="616">
        <f t="shared" si="15"/>
        <v>3</v>
      </c>
      <c r="I26" s="615">
        <f t="shared" si="3"/>
        <v>0.25917279473540572</v>
      </c>
      <c r="J26" s="616">
        <f t="shared" si="16"/>
        <v>5</v>
      </c>
      <c r="K26" s="615">
        <f t="shared" si="4"/>
        <v>0.43195465789234294</v>
      </c>
      <c r="L26" s="615">
        <f t="shared" si="29"/>
        <v>0</v>
      </c>
      <c r="M26" s="617">
        <f t="shared" si="29"/>
        <v>11575289</v>
      </c>
      <c r="N26" s="618">
        <v>0</v>
      </c>
      <c r="O26" s="619">
        <f t="shared" si="9"/>
        <v>0</v>
      </c>
      <c r="P26" s="620">
        <f t="shared" si="18"/>
        <v>6</v>
      </c>
      <c r="Q26" s="619">
        <f t="shared" si="10"/>
        <v>1.1548877737805829</v>
      </c>
      <c r="R26" s="620">
        <v>1</v>
      </c>
      <c r="S26" s="619">
        <f t="shared" si="11"/>
        <v>0.19248129563009714</v>
      </c>
      <c r="T26" s="620">
        <v>2</v>
      </c>
      <c r="U26" s="619">
        <f t="shared" si="20"/>
        <v>0.38496259126019428</v>
      </c>
      <c r="V26" s="620">
        <v>3</v>
      </c>
      <c r="W26" s="619">
        <f t="shared" si="12"/>
        <v>0.57744388689029147</v>
      </c>
      <c r="X26" s="619">
        <v>0</v>
      </c>
      <c r="Y26" s="621">
        <v>5195310</v>
      </c>
      <c r="Z26" s="618">
        <v>0</v>
      </c>
      <c r="AA26" s="622">
        <f t="shared" si="5"/>
        <v>0</v>
      </c>
      <c r="AB26" s="623">
        <f>AD26+AF26+AH26</f>
        <v>5</v>
      </c>
      <c r="AC26" s="619">
        <f t="shared" si="5"/>
        <v>0.78370163914332636</v>
      </c>
      <c r="AD26" s="624">
        <v>2</v>
      </c>
      <c r="AE26" s="619">
        <f t="shared" si="30"/>
        <v>0.31348065565733052</v>
      </c>
      <c r="AF26" s="624">
        <v>1</v>
      </c>
      <c r="AG26" s="619">
        <f t="shared" si="31"/>
        <v>0.15674032782866526</v>
      </c>
      <c r="AH26" s="624">
        <v>2</v>
      </c>
      <c r="AI26" s="619">
        <f t="shared" si="32"/>
        <v>0.31348065565733052</v>
      </c>
      <c r="AJ26" s="619">
        <v>0</v>
      </c>
      <c r="AK26" s="621">
        <v>6379979</v>
      </c>
    </row>
    <row r="27" spans="1:37" s="578" customFormat="1" x14ac:dyDescent="0.2">
      <c r="A27" s="583" t="s">
        <v>442</v>
      </c>
      <c r="B27" s="71">
        <f t="shared" si="13"/>
        <v>0</v>
      </c>
      <c r="C27" s="72">
        <f t="shared" si="0"/>
        <v>0</v>
      </c>
      <c r="D27" s="73">
        <f t="shared" si="1"/>
        <v>8</v>
      </c>
      <c r="E27" s="72">
        <f t="shared" si="21"/>
        <v>1.1483625570072293</v>
      </c>
      <c r="F27" s="73">
        <f>R27+AD27</f>
        <v>2</v>
      </c>
      <c r="G27" s="72">
        <f t="shared" si="2"/>
        <v>0.28709063925180733</v>
      </c>
      <c r="H27" s="73">
        <f>T27+AF27</f>
        <v>2</v>
      </c>
      <c r="I27" s="72">
        <f t="shared" si="3"/>
        <v>0.28709063925180733</v>
      </c>
      <c r="J27" s="73">
        <f t="shared" si="16"/>
        <v>4</v>
      </c>
      <c r="K27" s="72">
        <f t="shared" si="4"/>
        <v>0.57418127850361467</v>
      </c>
      <c r="L27" s="72">
        <f t="shared" si="29"/>
        <v>0</v>
      </c>
      <c r="M27" s="77">
        <f>SUM(M28:M30)</f>
        <v>6966441</v>
      </c>
      <c r="N27" s="584">
        <f>SUM(N30:N30)</f>
        <v>0</v>
      </c>
      <c r="O27" s="585">
        <f t="shared" si="9"/>
        <v>0</v>
      </c>
      <c r="P27" s="76">
        <f>R27+T27+V27</f>
        <v>4</v>
      </c>
      <c r="Q27" s="585">
        <f t="shared" si="10"/>
        <v>1.4288153477629395</v>
      </c>
      <c r="R27" s="76">
        <f>SUM(R28:R30)</f>
        <v>0</v>
      </c>
      <c r="S27" s="585">
        <f t="shared" si="11"/>
        <v>0</v>
      </c>
      <c r="T27" s="76">
        <f>SUM(T28:T30)</f>
        <v>1</v>
      </c>
      <c r="U27" s="585">
        <f t="shared" si="20"/>
        <v>0.35720383694073488</v>
      </c>
      <c r="V27" s="76">
        <f>SUM(V28:V30)</f>
        <v>3</v>
      </c>
      <c r="W27" s="585">
        <f t="shared" si="12"/>
        <v>1.0716115108222046</v>
      </c>
      <c r="X27" s="585">
        <f>SUM(X30:X30)</f>
        <v>0</v>
      </c>
      <c r="Y27" s="77">
        <f>SUM(Y28:Y30)</f>
        <v>2799522</v>
      </c>
      <c r="Z27" s="584">
        <f>SUM(Z30:Z30)</f>
        <v>0</v>
      </c>
      <c r="AA27" s="586">
        <f t="shared" si="5"/>
        <v>0</v>
      </c>
      <c r="AB27" s="78">
        <f>SUM(AD27,AF27,AH27)</f>
        <v>4</v>
      </c>
      <c r="AC27" s="585">
        <f t="shared" si="5"/>
        <v>0.95994186592059993</v>
      </c>
      <c r="AD27" s="79">
        <f>SUM(AD28:AD30)</f>
        <v>2</v>
      </c>
      <c r="AE27" s="585">
        <f t="shared" si="30"/>
        <v>0.47997093296029997</v>
      </c>
      <c r="AF27" s="79">
        <f>SUM(AF28:AF30)</f>
        <v>1</v>
      </c>
      <c r="AG27" s="585">
        <f t="shared" si="31"/>
        <v>0.23998546648014998</v>
      </c>
      <c r="AH27" s="79">
        <f>SUM(AH28:AH30)</f>
        <v>1</v>
      </c>
      <c r="AI27" s="585">
        <f t="shared" si="32"/>
        <v>0.23998546648014998</v>
      </c>
      <c r="AJ27" s="585">
        <f>SUM(AJ30:AJ30)</f>
        <v>0</v>
      </c>
      <c r="AK27" s="77">
        <f>SUM(AK28:AK30)</f>
        <v>4166919</v>
      </c>
    </row>
    <row r="28" spans="1:37" s="613" customFormat="1" x14ac:dyDescent="0.2">
      <c r="A28" s="601" t="s">
        <v>443</v>
      </c>
      <c r="B28" s="614">
        <f>N28+Z28</f>
        <v>0</v>
      </c>
      <c r="C28" s="615">
        <f>(B28/$M28)*1000000</f>
        <v>0</v>
      </c>
      <c r="D28" s="616">
        <f>F28+H28+J28</f>
        <v>6</v>
      </c>
      <c r="E28" s="615">
        <f>(D28/M28)*1000000</f>
        <v>1.3648312113240957</v>
      </c>
      <c r="F28" s="616">
        <f>R28+AD28</f>
        <v>2</v>
      </c>
      <c r="G28" s="615">
        <f>(F28/$M28)*1000000</f>
        <v>0.45494373710803182</v>
      </c>
      <c r="H28" s="616">
        <f>T28+AF28</f>
        <v>2</v>
      </c>
      <c r="I28" s="615">
        <f>(H28/$M28)*1000000</f>
        <v>0.45494373710803182</v>
      </c>
      <c r="J28" s="616">
        <f>V28+AH28</f>
        <v>2</v>
      </c>
      <c r="K28" s="615">
        <f>(J28/$M28)*1000000</f>
        <v>0.45494373710803182</v>
      </c>
      <c r="L28" s="615">
        <f t="shared" ref="L28:M30" si="35">X28+AJ28</f>
        <v>0</v>
      </c>
      <c r="M28" s="617">
        <f t="shared" si="35"/>
        <v>4396148</v>
      </c>
      <c r="N28" s="618">
        <v>0</v>
      </c>
      <c r="O28" s="619">
        <f>(N28/$Y28)*1000000</f>
        <v>0</v>
      </c>
      <c r="P28" s="620">
        <f>R28+T28+V28</f>
        <v>2</v>
      </c>
      <c r="Q28" s="619">
        <f>(P28/$Y28)*1000000</f>
        <v>1.1257876291700581</v>
      </c>
      <c r="R28" s="620">
        <v>0</v>
      </c>
      <c r="S28" s="619">
        <f>(R28/$Y28)*1000000</f>
        <v>0</v>
      </c>
      <c r="T28" s="620">
        <v>1</v>
      </c>
      <c r="U28" s="619">
        <f>(T28/$Y28)*1000000</f>
        <v>0.56289381458502907</v>
      </c>
      <c r="V28" s="620">
        <v>1</v>
      </c>
      <c r="W28" s="619">
        <f>(V28/$Y28)*1000000</f>
        <v>0.56289381458502907</v>
      </c>
      <c r="X28" s="619">
        <v>0</v>
      </c>
      <c r="Y28" s="621">
        <v>1776534</v>
      </c>
      <c r="Z28" s="618">
        <v>0</v>
      </c>
      <c r="AA28" s="622">
        <f>(Z28/$AK28)*1000000</f>
        <v>0</v>
      </c>
      <c r="AB28" s="623">
        <f>AD28+AF28+AH28</f>
        <v>4</v>
      </c>
      <c r="AC28" s="619">
        <f>(AB28/$AK28)*1000000</f>
        <v>1.5269425190123431</v>
      </c>
      <c r="AD28" s="624">
        <v>2</v>
      </c>
      <c r="AE28" s="619">
        <f>(AD28/$AK28)*1000000</f>
        <v>0.76347125950617156</v>
      </c>
      <c r="AF28" s="624">
        <v>1</v>
      </c>
      <c r="AG28" s="619">
        <f>(AF28/$AK28)*1000000</f>
        <v>0.38173562975308578</v>
      </c>
      <c r="AH28" s="624">
        <v>1</v>
      </c>
      <c r="AI28" s="619">
        <f>(AH28/$AK28)*1000000</f>
        <v>0.38173562975308578</v>
      </c>
      <c r="AJ28" s="619">
        <v>0</v>
      </c>
      <c r="AK28" s="621">
        <v>2619614</v>
      </c>
    </row>
    <row r="29" spans="1:37" s="613" customFormat="1" x14ac:dyDescent="0.2">
      <c r="A29" s="601" t="s">
        <v>444</v>
      </c>
      <c r="B29" s="614">
        <f>N29+Z29</f>
        <v>0</v>
      </c>
      <c r="C29" s="615">
        <f>(B29/$M29)*1000000</f>
        <v>0</v>
      </c>
      <c r="D29" s="616">
        <f>F29+H29+J29</f>
        <v>2</v>
      </c>
      <c r="E29" s="615">
        <f>(D29/M29)*1000000</f>
        <v>0.84585158434345631</v>
      </c>
      <c r="F29" s="616">
        <f>R29+AD29</f>
        <v>0</v>
      </c>
      <c r="G29" s="615">
        <f>(F29/$M29)*1000000</f>
        <v>0</v>
      </c>
      <c r="H29" s="616">
        <f>T29+AF29</f>
        <v>0</v>
      </c>
      <c r="I29" s="615">
        <f>(H29/$M29)*1000000</f>
        <v>0</v>
      </c>
      <c r="J29" s="616">
        <f>V29+AH29</f>
        <v>2</v>
      </c>
      <c r="K29" s="615">
        <f>(J29/$M29)*1000000</f>
        <v>0.84585158434345631</v>
      </c>
      <c r="L29" s="615">
        <f t="shared" si="35"/>
        <v>0</v>
      </c>
      <c r="M29" s="617">
        <f t="shared" si="35"/>
        <v>2364481</v>
      </c>
      <c r="N29" s="618">
        <v>0</v>
      </c>
      <c r="O29" s="619">
        <f>(N29/$Y29)*1000000</f>
        <v>0</v>
      </c>
      <c r="P29" s="620">
        <f>R29+T29+V29</f>
        <v>2</v>
      </c>
      <c r="Q29" s="619">
        <f>(P29/$Y29)*1000000</f>
        <v>2.0724293327502901</v>
      </c>
      <c r="R29" s="620">
        <v>0</v>
      </c>
      <c r="S29" s="619">
        <f>(R29/$Y29)*1000000</f>
        <v>0</v>
      </c>
      <c r="T29" s="620">
        <v>0</v>
      </c>
      <c r="U29" s="619">
        <f>(T29/$Y29)*1000000</f>
        <v>0</v>
      </c>
      <c r="V29" s="620">
        <v>2</v>
      </c>
      <c r="W29" s="619">
        <f>(V29/$Y29)*1000000</f>
        <v>2.0724293327502901</v>
      </c>
      <c r="X29" s="619">
        <v>0</v>
      </c>
      <c r="Y29" s="621">
        <v>965051</v>
      </c>
      <c r="Z29" s="618">
        <v>0</v>
      </c>
      <c r="AA29" s="622">
        <f>(Z29/$AK29)*1000000</f>
        <v>0</v>
      </c>
      <c r="AB29" s="623">
        <f>AD29+AF29+AH29</f>
        <v>0</v>
      </c>
      <c r="AC29" s="619">
        <f>(AB29/$AK29)*1000000</f>
        <v>0</v>
      </c>
      <c r="AD29" s="624">
        <v>0</v>
      </c>
      <c r="AE29" s="619">
        <f>(AD29/$AK29)*1000000</f>
        <v>0</v>
      </c>
      <c r="AF29" s="624">
        <v>0</v>
      </c>
      <c r="AG29" s="619">
        <f>(AF29/$AK29)*1000000</f>
        <v>0</v>
      </c>
      <c r="AH29" s="624">
        <v>0</v>
      </c>
      <c r="AI29" s="619">
        <f>(AH29/$AK29)*1000000</f>
        <v>0</v>
      </c>
      <c r="AJ29" s="619">
        <v>0</v>
      </c>
      <c r="AK29" s="621">
        <v>1399430</v>
      </c>
    </row>
    <row r="30" spans="1:37" s="613" customFormat="1" x14ac:dyDescent="0.2">
      <c r="A30" s="601" t="s">
        <v>422</v>
      </c>
      <c r="B30" s="614">
        <f t="shared" si="13"/>
        <v>0</v>
      </c>
      <c r="C30" s="615">
        <f t="shared" si="0"/>
        <v>0</v>
      </c>
      <c r="D30" s="616">
        <f t="shared" si="1"/>
        <v>0</v>
      </c>
      <c r="E30" s="615">
        <f t="shared" si="21"/>
        <v>0</v>
      </c>
      <c r="F30" s="616">
        <f t="shared" si="14"/>
        <v>0</v>
      </c>
      <c r="G30" s="615">
        <f t="shared" si="2"/>
        <v>0</v>
      </c>
      <c r="H30" s="616">
        <f t="shared" si="15"/>
        <v>0</v>
      </c>
      <c r="I30" s="615">
        <f t="shared" si="3"/>
        <v>0</v>
      </c>
      <c r="J30" s="616">
        <f t="shared" si="16"/>
        <v>0</v>
      </c>
      <c r="K30" s="615">
        <f t="shared" si="4"/>
        <v>0</v>
      </c>
      <c r="L30" s="615">
        <f t="shared" si="35"/>
        <v>0</v>
      </c>
      <c r="M30" s="617">
        <f t="shared" si="35"/>
        <v>205812</v>
      </c>
      <c r="N30" s="618">
        <v>0</v>
      </c>
      <c r="O30" s="619">
        <f t="shared" si="9"/>
        <v>0</v>
      </c>
      <c r="P30" s="620">
        <f t="shared" si="18"/>
        <v>0</v>
      </c>
      <c r="Q30" s="619">
        <f t="shared" si="10"/>
        <v>0</v>
      </c>
      <c r="R30" s="620">
        <v>0</v>
      </c>
      <c r="S30" s="619">
        <f t="shared" si="11"/>
        <v>0</v>
      </c>
      <c r="T30" s="620">
        <v>0</v>
      </c>
      <c r="U30" s="619">
        <f t="shared" si="20"/>
        <v>0</v>
      </c>
      <c r="V30" s="620">
        <v>0</v>
      </c>
      <c r="W30" s="619">
        <f t="shared" si="12"/>
        <v>0</v>
      </c>
      <c r="X30" s="619">
        <v>0</v>
      </c>
      <c r="Y30" s="621">
        <f>54937+3000</f>
        <v>57937</v>
      </c>
      <c r="Z30" s="618">
        <v>0</v>
      </c>
      <c r="AA30" s="622">
        <f t="shared" si="5"/>
        <v>0</v>
      </c>
      <c r="AB30" s="623">
        <f>AD30+AF30+AH30</f>
        <v>0</v>
      </c>
      <c r="AC30" s="619">
        <f t="shared" si="5"/>
        <v>0</v>
      </c>
      <c r="AD30" s="624">
        <v>0</v>
      </c>
      <c r="AE30" s="619">
        <f t="shared" ref="AE30:AE44" si="36">(AD30/$AK30)*1000000</f>
        <v>0</v>
      </c>
      <c r="AF30" s="624">
        <v>0</v>
      </c>
      <c r="AG30" s="619">
        <f t="shared" ref="AG30:AG38" si="37">(AF30/$AK30)*1000000</f>
        <v>0</v>
      </c>
      <c r="AH30" s="624">
        <v>0</v>
      </c>
      <c r="AI30" s="619">
        <f t="shared" ref="AI30:AI44" si="38">(AH30/$AK30)*1000000</f>
        <v>0</v>
      </c>
      <c r="AJ30" s="619">
        <v>0</v>
      </c>
      <c r="AK30" s="621">
        <v>147875</v>
      </c>
    </row>
    <row r="31" spans="1:37" s="578" customFormat="1" x14ac:dyDescent="0.2">
      <c r="A31" s="583" t="s">
        <v>446</v>
      </c>
      <c r="B31" s="71">
        <f t="shared" si="13"/>
        <v>0</v>
      </c>
      <c r="C31" s="72">
        <f t="shared" si="0"/>
        <v>0</v>
      </c>
      <c r="D31" s="73">
        <f t="shared" si="1"/>
        <v>0</v>
      </c>
      <c r="E31" s="72">
        <f t="shared" si="21"/>
        <v>0</v>
      </c>
      <c r="F31" s="73">
        <f t="shared" si="14"/>
        <v>0</v>
      </c>
      <c r="G31" s="72">
        <f t="shared" si="2"/>
        <v>0</v>
      </c>
      <c r="H31" s="73">
        <f t="shared" si="15"/>
        <v>0</v>
      </c>
      <c r="I31" s="72">
        <f t="shared" si="3"/>
        <v>0</v>
      </c>
      <c r="J31" s="73">
        <f t="shared" si="16"/>
        <v>0</v>
      </c>
      <c r="K31" s="72">
        <f t="shared" si="4"/>
        <v>0</v>
      </c>
      <c r="L31" s="72">
        <f t="shared" si="29"/>
        <v>0</v>
      </c>
      <c r="M31" s="75">
        <f t="shared" si="29"/>
        <v>2612805</v>
      </c>
      <c r="N31" s="584">
        <f t="shared" ref="N31:X31" si="39">N32</f>
        <v>0</v>
      </c>
      <c r="O31" s="585">
        <f t="shared" si="9"/>
        <v>0</v>
      </c>
      <c r="P31" s="76">
        <f t="shared" si="18"/>
        <v>0</v>
      </c>
      <c r="Q31" s="585">
        <f t="shared" si="10"/>
        <v>0</v>
      </c>
      <c r="R31" s="76">
        <f t="shared" si="39"/>
        <v>0</v>
      </c>
      <c r="S31" s="585">
        <f t="shared" si="11"/>
        <v>0</v>
      </c>
      <c r="T31" s="76">
        <f t="shared" si="39"/>
        <v>0</v>
      </c>
      <c r="U31" s="585">
        <f t="shared" si="20"/>
        <v>0</v>
      </c>
      <c r="V31" s="76">
        <f t="shared" si="39"/>
        <v>0</v>
      </c>
      <c r="W31" s="585">
        <f t="shared" si="12"/>
        <v>0</v>
      </c>
      <c r="X31" s="585">
        <f t="shared" si="39"/>
        <v>0</v>
      </c>
      <c r="Y31" s="77">
        <f>Y32</f>
        <v>626919</v>
      </c>
      <c r="Z31" s="584">
        <f t="shared" ref="Z31:AJ31" si="40">Z32</f>
        <v>0</v>
      </c>
      <c r="AA31" s="586">
        <f t="shared" si="5"/>
        <v>0</v>
      </c>
      <c r="AB31" s="78">
        <f>SUM(AD31,AF31,AH31)</f>
        <v>0</v>
      </c>
      <c r="AC31" s="585">
        <f t="shared" si="5"/>
        <v>0</v>
      </c>
      <c r="AD31" s="79">
        <f t="shared" si="40"/>
        <v>0</v>
      </c>
      <c r="AE31" s="585">
        <f t="shared" si="36"/>
        <v>0</v>
      </c>
      <c r="AF31" s="79">
        <f t="shared" si="40"/>
        <v>0</v>
      </c>
      <c r="AG31" s="585">
        <f t="shared" si="37"/>
        <v>0</v>
      </c>
      <c r="AH31" s="79">
        <f t="shared" si="40"/>
        <v>0</v>
      </c>
      <c r="AI31" s="585">
        <f t="shared" si="38"/>
        <v>0</v>
      </c>
      <c r="AJ31" s="585">
        <f t="shared" si="40"/>
        <v>0</v>
      </c>
      <c r="AK31" s="77">
        <f>AK32</f>
        <v>1985886</v>
      </c>
    </row>
    <row r="32" spans="1:37" s="613" customFormat="1" x14ac:dyDescent="0.2">
      <c r="A32" s="601" t="s">
        <v>447</v>
      </c>
      <c r="B32" s="614">
        <f t="shared" si="13"/>
        <v>0</v>
      </c>
      <c r="C32" s="615">
        <f t="shared" si="0"/>
        <v>0</v>
      </c>
      <c r="D32" s="616">
        <f t="shared" si="1"/>
        <v>0</v>
      </c>
      <c r="E32" s="615">
        <f t="shared" si="21"/>
        <v>0</v>
      </c>
      <c r="F32" s="616">
        <f t="shared" si="14"/>
        <v>0</v>
      </c>
      <c r="G32" s="615">
        <f t="shared" si="2"/>
        <v>0</v>
      </c>
      <c r="H32" s="616">
        <f t="shared" si="15"/>
        <v>0</v>
      </c>
      <c r="I32" s="615">
        <f t="shared" si="3"/>
        <v>0</v>
      </c>
      <c r="J32" s="616">
        <f t="shared" si="16"/>
        <v>0</v>
      </c>
      <c r="K32" s="615">
        <f t="shared" si="4"/>
        <v>0</v>
      </c>
      <c r="L32" s="615">
        <f t="shared" si="29"/>
        <v>0</v>
      </c>
      <c r="M32" s="617">
        <f t="shared" si="29"/>
        <v>2612805</v>
      </c>
      <c r="N32" s="618">
        <v>0</v>
      </c>
      <c r="O32" s="619">
        <f t="shared" si="9"/>
        <v>0</v>
      </c>
      <c r="P32" s="620">
        <f t="shared" si="18"/>
        <v>0</v>
      </c>
      <c r="Q32" s="619">
        <f t="shared" si="10"/>
        <v>0</v>
      </c>
      <c r="R32" s="620">
        <v>0</v>
      </c>
      <c r="S32" s="619">
        <f t="shared" si="11"/>
        <v>0</v>
      </c>
      <c r="T32" s="620">
        <v>0</v>
      </c>
      <c r="U32" s="619">
        <f t="shared" si="20"/>
        <v>0</v>
      </c>
      <c r="V32" s="620">
        <v>0</v>
      </c>
      <c r="W32" s="619">
        <f t="shared" si="12"/>
        <v>0</v>
      </c>
      <c r="X32" s="619">
        <v>0</v>
      </c>
      <c r="Y32" s="621">
        <v>626919</v>
      </c>
      <c r="Z32" s="618">
        <v>0</v>
      </c>
      <c r="AA32" s="622">
        <f t="shared" si="5"/>
        <v>0</v>
      </c>
      <c r="AB32" s="623">
        <f>AD32+AF32+AH32</f>
        <v>0</v>
      </c>
      <c r="AC32" s="619">
        <f t="shared" si="5"/>
        <v>0</v>
      </c>
      <c r="AD32" s="624">
        <v>0</v>
      </c>
      <c r="AE32" s="619">
        <f t="shared" si="36"/>
        <v>0</v>
      </c>
      <c r="AF32" s="624">
        <v>0</v>
      </c>
      <c r="AG32" s="619">
        <f t="shared" si="37"/>
        <v>0</v>
      </c>
      <c r="AH32" s="624">
        <v>0</v>
      </c>
      <c r="AI32" s="619">
        <f t="shared" si="38"/>
        <v>0</v>
      </c>
      <c r="AJ32" s="619">
        <v>0</v>
      </c>
      <c r="AK32" s="621">
        <v>1985886</v>
      </c>
    </row>
    <row r="33" spans="1:37" s="578" customFormat="1" x14ac:dyDescent="0.2">
      <c r="A33" s="583" t="s">
        <v>448</v>
      </c>
      <c r="B33" s="71">
        <f t="shared" si="13"/>
        <v>0</v>
      </c>
      <c r="C33" s="72">
        <f t="shared" si="0"/>
        <v>0</v>
      </c>
      <c r="D33" s="73">
        <f t="shared" si="1"/>
        <v>8</v>
      </c>
      <c r="E33" s="72">
        <f t="shared" si="21"/>
        <v>0.71548223055162785</v>
      </c>
      <c r="F33" s="73">
        <f t="shared" si="14"/>
        <v>3</v>
      </c>
      <c r="G33" s="72">
        <f t="shared" si="2"/>
        <v>0.26830583645686046</v>
      </c>
      <c r="H33" s="73">
        <f t="shared" si="15"/>
        <v>2</v>
      </c>
      <c r="I33" s="72">
        <f t="shared" si="3"/>
        <v>0.17887055763790696</v>
      </c>
      <c r="J33" s="73">
        <f t="shared" si="16"/>
        <v>3</v>
      </c>
      <c r="K33" s="72">
        <f t="shared" si="4"/>
        <v>0.26830583645686046</v>
      </c>
      <c r="L33" s="72">
        <f t="shared" si="29"/>
        <v>0</v>
      </c>
      <c r="M33" s="75">
        <f t="shared" si="29"/>
        <v>11181270</v>
      </c>
      <c r="N33" s="584">
        <f t="shared" ref="N33:X33" si="41">N34</f>
        <v>0</v>
      </c>
      <c r="O33" s="585">
        <f t="shared" si="9"/>
        <v>0</v>
      </c>
      <c r="P33" s="76">
        <f t="shared" si="18"/>
        <v>4</v>
      </c>
      <c r="Q33" s="585">
        <f t="shared" si="10"/>
        <v>0.91819628603375236</v>
      </c>
      <c r="R33" s="76">
        <f t="shared" si="41"/>
        <v>2</v>
      </c>
      <c r="S33" s="585">
        <f t="shared" si="11"/>
        <v>0.45909814301687618</v>
      </c>
      <c r="T33" s="76">
        <f t="shared" si="41"/>
        <v>0</v>
      </c>
      <c r="U33" s="585">
        <f t="shared" si="20"/>
        <v>0</v>
      </c>
      <c r="V33" s="76">
        <f t="shared" si="41"/>
        <v>2</v>
      </c>
      <c r="W33" s="585">
        <f t="shared" si="12"/>
        <v>0.45909814301687618</v>
      </c>
      <c r="X33" s="585">
        <f t="shared" si="41"/>
        <v>0</v>
      </c>
      <c r="Y33" s="77">
        <f>Y34</f>
        <v>4356367</v>
      </c>
      <c r="Z33" s="584">
        <f t="shared" ref="Z33:AJ33" si="42">Z34</f>
        <v>0</v>
      </c>
      <c r="AA33" s="586">
        <f t="shared" si="5"/>
        <v>0</v>
      </c>
      <c r="AB33" s="78">
        <f>SUM(AD33,AF33,AH33)</f>
        <v>4</v>
      </c>
      <c r="AC33" s="585">
        <f t="shared" si="5"/>
        <v>0.58608891584246692</v>
      </c>
      <c r="AD33" s="79">
        <f t="shared" si="42"/>
        <v>1</v>
      </c>
      <c r="AE33" s="585">
        <f t="shared" si="36"/>
        <v>0.14652222896061673</v>
      </c>
      <c r="AF33" s="79">
        <f t="shared" si="42"/>
        <v>2</v>
      </c>
      <c r="AG33" s="585">
        <f t="shared" si="37"/>
        <v>0.29304445792123346</v>
      </c>
      <c r="AH33" s="79">
        <f t="shared" si="42"/>
        <v>1</v>
      </c>
      <c r="AI33" s="585">
        <f t="shared" si="38"/>
        <v>0.14652222896061673</v>
      </c>
      <c r="AJ33" s="585">
        <f t="shared" si="42"/>
        <v>0</v>
      </c>
      <c r="AK33" s="77">
        <f>AK34</f>
        <v>6824903</v>
      </c>
    </row>
    <row r="34" spans="1:37" s="613" customFormat="1" x14ac:dyDescent="0.2">
      <c r="A34" s="601" t="s">
        <v>449</v>
      </c>
      <c r="B34" s="614">
        <f t="shared" si="13"/>
        <v>0</v>
      </c>
      <c r="C34" s="615">
        <f t="shared" si="0"/>
        <v>0</v>
      </c>
      <c r="D34" s="616">
        <f t="shared" si="1"/>
        <v>8</v>
      </c>
      <c r="E34" s="615">
        <f t="shared" si="21"/>
        <v>0.71548223055162785</v>
      </c>
      <c r="F34" s="616">
        <f t="shared" si="14"/>
        <v>3</v>
      </c>
      <c r="G34" s="615">
        <f t="shared" si="2"/>
        <v>0.26830583645686046</v>
      </c>
      <c r="H34" s="616">
        <f t="shared" si="15"/>
        <v>2</v>
      </c>
      <c r="I34" s="615">
        <f t="shared" si="3"/>
        <v>0.17887055763790696</v>
      </c>
      <c r="J34" s="616">
        <f t="shared" si="16"/>
        <v>3</v>
      </c>
      <c r="K34" s="615">
        <f t="shared" si="4"/>
        <v>0.26830583645686046</v>
      </c>
      <c r="L34" s="615">
        <f t="shared" si="29"/>
        <v>0</v>
      </c>
      <c r="M34" s="617">
        <f t="shared" si="29"/>
        <v>11181270</v>
      </c>
      <c r="N34" s="618">
        <v>0</v>
      </c>
      <c r="O34" s="619">
        <f t="shared" si="9"/>
        <v>0</v>
      </c>
      <c r="P34" s="620">
        <f t="shared" si="18"/>
        <v>4</v>
      </c>
      <c r="Q34" s="619">
        <f t="shared" si="10"/>
        <v>0.91819628603375236</v>
      </c>
      <c r="R34" s="620">
        <v>2</v>
      </c>
      <c r="S34" s="619">
        <f t="shared" si="11"/>
        <v>0.45909814301687618</v>
      </c>
      <c r="T34" s="620">
        <v>0</v>
      </c>
      <c r="U34" s="619">
        <f t="shared" si="20"/>
        <v>0</v>
      </c>
      <c r="V34" s="620">
        <v>2</v>
      </c>
      <c r="W34" s="619">
        <f t="shared" si="12"/>
        <v>0.45909814301687618</v>
      </c>
      <c r="X34" s="619">
        <v>0</v>
      </c>
      <c r="Y34" s="621">
        <v>4356367</v>
      </c>
      <c r="Z34" s="618">
        <v>0</v>
      </c>
      <c r="AA34" s="622">
        <f t="shared" si="5"/>
        <v>0</v>
      </c>
      <c r="AB34" s="623">
        <f>AD34+AF34+AH34</f>
        <v>4</v>
      </c>
      <c r="AC34" s="619">
        <f t="shared" si="5"/>
        <v>0.58608891584246692</v>
      </c>
      <c r="AD34" s="624">
        <v>1</v>
      </c>
      <c r="AE34" s="619">
        <f t="shared" si="36"/>
        <v>0.14652222896061673</v>
      </c>
      <c r="AF34" s="624">
        <v>2</v>
      </c>
      <c r="AG34" s="619">
        <f t="shared" si="37"/>
        <v>0.29304445792123346</v>
      </c>
      <c r="AH34" s="624">
        <v>1</v>
      </c>
      <c r="AI34" s="619">
        <f t="shared" si="38"/>
        <v>0.14652222896061673</v>
      </c>
      <c r="AJ34" s="619">
        <v>0</v>
      </c>
      <c r="AK34" s="621">
        <v>6824903</v>
      </c>
    </row>
    <row r="35" spans="1:37" s="578" customFormat="1" x14ac:dyDescent="0.2">
      <c r="A35" s="583" t="s">
        <v>450</v>
      </c>
      <c r="B35" s="71">
        <f t="shared" si="13"/>
        <v>0</v>
      </c>
      <c r="C35" s="72">
        <f t="shared" si="0"/>
        <v>0</v>
      </c>
      <c r="D35" s="73">
        <f t="shared" si="1"/>
        <v>11</v>
      </c>
      <c r="E35" s="72">
        <f t="shared" si="21"/>
        <v>1.040791160238977</v>
      </c>
      <c r="F35" s="73">
        <f t="shared" si="14"/>
        <v>6</v>
      </c>
      <c r="G35" s="72">
        <f t="shared" si="2"/>
        <v>0.56770426922126016</v>
      </c>
      <c r="H35" s="73">
        <f t="shared" si="15"/>
        <v>1</v>
      </c>
      <c r="I35" s="72">
        <f t="shared" si="3"/>
        <v>9.4617378203543365E-2</v>
      </c>
      <c r="J35" s="73">
        <f t="shared" si="16"/>
        <v>4</v>
      </c>
      <c r="K35" s="72">
        <f t="shared" si="4"/>
        <v>0.37846951281417346</v>
      </c>
      <c r="L35" s="72">
        <f t="shared" si="29"/>
        <v>0</v>
      </c>
      <c r="M35" s="75">
        <f t="shared" si="29"/>
        <v>10568883</v>
      </c>
      <c r="N35" s="584">
        <f t="shared" ref="N35:X35" si="43">N36</f>
        <v>0</v>
      </c>
      <c r="O35" s="585">
        <f t="shared" si="9"/>
        <v>0</v>
      </c>
      <c r="P35" s="76">
        <f>R35+T35+V35</f>
        <v>9</v>
      </c>
      <c r="Q35" s="585">
        <f t="shared" si="10"/>
        <v>1.0846933379099357</v>
      </c>
      <c r="R35" s="76">
        <f t="shared" si="43"/>
        <v>4</v>
      </c>
      <c r="S35" s="585">
        <f t="shared" si="11"/>
        <v>0.48208592795997146</v>
      </c>
      <c r="T35" s="76">
        <f t="shared" si="43"/>
        <v>1</v>
      </c>
      <c r="U35" s="585">
        <f t="shared" si="20"/>
        <v>0.12052148198999287</v>
      </c>
      <c r="V35" s="76">
        <f t="shared" si="43"/>
        <v>4</v>
      </c>
      <c r="W35" s="585">
        <f t="shared" si="12"/>
        <v>0.48208592795997146</v>
      </c>
      <c r="X35" s="585">
        <f t="shared" si="43"/>
        <v>0</v>
      </c>
      <c r="Y35" s="77">
        <f>Y36</f>
        <v>8297276</v>
      </c>
      <c r="Z35" s="584">
        <f t="shared" ref="Z35:AJ35" si="44">Z36</f>
        <v>0</v>
      </c>
      <c r="AA35" s="586">
        <f t="shared" si="5"/>
        <v>0</v>
      </c>
      <c r="AB35" s="78">
        <f>SUM(AD35,AF35,AH35)</f>
        <v>2</v>
      </c>
      <c r="AC35" s="585">
        <f t="shared" si="5"/>
        <v>0.88043398351915625</v>
      </c>
      <c r="AD35" s="79">
        <f t="shared" si="44"/>
        <v>2</v>
      </c>
      <c r="AE35" s="585">
        <f t="shared" si="36"/>
        <v>0.88043398351915625</v>
      </c>
      <c r="AF35" s="79">
        <f t="shared" si="44"/>
        <v>0</v>
      </c>
      <c r="AG35" s="585">
        <f t="shared" si="37"/>
        <v>0</v>
      </c>
      <c r="AH35" s="79">
        <f t="shared" si="44"/>
        <v>0</v>
      </c>
      <c r="AI35" s="585">
        <f t="shared" si="38"/>
        <v>0</v>
      </c>
      <c r="AJ35" s="585">
        <f t="shared" si="44"/>
        <v>0</v>
      </c>
      <c r="AK35" s="77">
        <f>AK36</f>
        <v>2271607</v>
      </c>
    </row>
    <row r="36" spans="1:37" s="613" customFormat="1" x14ac:dyDescent="0.2">
      <c r="A36" s="601" t="s">
        <v>451</v>
      </c>
      <c r="B36" s="614">
        <f t="shared" si="13"/>
        <v>0</v>
      </c>
      <c r="C36" s="615">
        <f t="shared" si="0"/>
        <v>0</v>
      </c>
      <c r="D36" s="616">
        <f t="shared" si="1"/>
        <v>11</v>
      </c>
      <c r="E36" s="615">
        <f t="shared" si="21"/>
        <v>1.040791160238977</v>
      </c>
      <c r="F36" s="616">
        <f t="shared" si="14"/>
        <v>6</v>
      </c>
      <c r="G36" s="615">
        <f t="shared" si="2"/>
        <v>0.56770426922126016</v>
      </c>
      <c r="H36" s="616">
        <f t="shared" si="15"/>
        <v>1</v>
      </c>
      <c r="I36" s="615">
        <f t="shared" si="3"/>
        <v>9.4617378203543365E-2</v>
      </c>
      <c r="J36" s="616">
        <f t="shared" si="16"/>
        <v>4</v>
      </c>
      <c r="K36" s="615">
        <f t="shared" si="4"/>
        <v>0.37846951281417346</v>
      </c>
      <c r="L36" s="615">
        <f t="shared" si="29"/>
        <v>0</v>
      </c>
      <c r="M36" s="617">
        <f t="shared" si="29"/>
        <v>10568883</v>
      </c>
      <c r="N36" s="618">
        <v>0</v>
      </c>
      <c r="O36" s="619">
        <f t="shared" si="9"/>
        <v>0</v>
      </c>
      <c r="P36" s="620">
        <f t="shared" si="18"/>
        <v>9</v>
      </c>
      <c r="Q36" s="619">
        <f t="shared" si="10"/>
        <v>1.0846933379099357</v>
      </c>
      <c r="R36" s="620">
        <v>4</v>
      </c>
      <c r="S36" s="619">
        <f t="shared" si="11"/>
        <v>0.48208592795997146</v>
      </c>
      <c r="T36" s="620">
        <v>1</v>
      </c>
      <c r="U36" s="619">
        <f t="shared" si="20"/>
        <v>0.12052148198999287</v>
      </c>
      <c r="V36" s="620">
        <v>4</v>
      </c>
      <c r="W36" s="619">
        <f t="shared" si="12"/>
        <v>0.48208592795997146</v>
      </c>
      <c r="X36" s="619">
        <v>0</v>
      </c>
      <c r="Y36" s="621">
        <v>8297276</v>
      </c>
      <c r="Z36" s="618">
        <v>0</v>
      </c>
      <c r="AA36" s="622">
        <f t="shared" si="5"/>
        <v>0</v>
      </c>
      <c r="AB36" s="626">
        <f t="shared" ref="AB36:AB37" si="45">SUM(AD36:AH36)</f>
        <v>2.8804339835191564</v>
      </c>
      <c r="AC36" s="619">
        <f t="shared" si="5"/>
        <v>1.2680159831868612</v>
      </c>
      <c r="AD36" s="624">
        <v>2</v>
      </c>
      <c r="AE36" s="619">
        <f t="shared" si="36"/>
        <v>0.88043398351915625</v>
      </c>
      <c r="AF36" s="624">
        <v>0</v>
      </c>
      <c r="AG36" s="619">
        <f t="shared" si="37"/>
        <v>0</v>
      </c>
      <c r="AH36" s="624">
        <v>0</v>
      </c>
      <c r="AI36" s="619">
        <f t="shared" si="38"/>
        <v>0</v>
      </c>
      <c r="AJ36" s="619">
        <v>0</v>
      </c>
      <c r="AK36" s="621">
        <v>2271607</v>
      </c>
    </row>
    <row r="37" spans="1:37" s="578" customFormat="1" x14ac:dyDescent="0.2">
      <c r="A37" s="587" t="s">
        <v>452</v>
      </c>
      <c r="B37" s="64">
        <f>B38+B41+B43</f>
        <v>0</v>
      </c>
      <c r="C37" s="65">
        <f t="shared" si="0"/>
        <v>0</v>
      </c>
      <c r="D37" s="66">
        <f t="shared" si="1"/>
        <v>93</v>
      </c>
      <c r="E37" s="65">
        <f>(D37/M37)*1000000</f>
        <v>3.3164671365922294</v>
      </c>
      <c r="F37" s="66">
        <f>F38+F41+F43</f>
        <v>8</v>
      </c>
      <c r="G37" s="65">
        <f t="shared" si="2"/>
        <v>0.28528749562083694</v>
      </c>
      <c r="H37" s="66">
        <f>H38+H41+H43</f>
        <v>0</v>
      </c>
      <c r="I37" s="65">
        <f t="shared" si="3"/>
        <v>0</v>
      </c>
      <c r="J37" s="66">
        <f>J38+J41+J43</f>
        <v>85</v>
      </c>
      <c r="K37" s="65">
        <f t="shared" si="4"/>
        <v>3.0311796409713923</v>
      </c>
      <c r="L37" s="65">
        <f>L38+L41+L43</f>
        <v>0</v>
      </c>
      <c r="M37" s="600">
        <f>M38+M41+M43</f>
        <v>28041888</v>
      </c>
      <c r="N37" s="580">
        <f>N38+N41+N43</f>
        <v>0</v>
      </c>
      <c r="O37" s="581">
        <f t="shared" si="9"/>
        <v>0</v>
      </c>
      <c r="P37" s="68">
        <f t="shared" si="18"/>
        <v>43</v>
      </c>
      <c r="Q37" s="581">
        <f t="shared" si="10"/>
        <v>4.0874750069914842</v>
      </c>
      <c r="R37" s="68">
        <f>R38+R41+R43</f>
        <v>3</v>
      </c>
      <c r="S37" s="581">
        <f t="shared" si="11"/>
        <v>0.28517267490638254</v>
      </c>
      <c r="T37" s="68">
        <f>T38+T41+T43</f>
        <v>0</v>
      </c>
      <c r="U37" s="581">
        <f t="shared" si="20"/>
        <v>0</v>
      </c>
      <c r="V37" s="68">
        <f>V38+V41+V43</f>
        <v>40</v>
      </c>
      <c r="W37" s="581">
        <f t="shared" si="12"/>
        <v>3.8023023320851008</v>
      </c>
      <c r="X37" s="581">
        <f>X38+X41+X43</f>
        <v>0</v>
      </c>
      <c r="Y37" s="67">
        <f>Y38+Y41+Y43</f>
        <v>10519942</v>
      </c>
      <c r="Z37" s="580">
        <f>Z38+Z41+Z43</f>
        <v>0</v>
      </c>
      <c r="AA37" s="582">
        <f t="shared" si="5"/>
        <v>0</v>
      </c>
      <c r="AB37" s="69">
        <f t="shared" si="45"/>
        <v>37.285356432441922</v>
      </c>
      <c r="AC37" s="581">
        <f t="shared" si="5"/>
        <v>2.1279232587774168</v>
      </c>
      <c r="AD37" s="70">
        <f>AD38+AD41+AD43</f>
        <v>5</v>
      </c>
      <c r="AE37" s="581">
        <f t="shared" si="36"/>
        <v>0.28535643244192171</v>
      </c>
      <c r="AF37" s="70">
        <f>AF38+AF41+AF43</f>
        <v>0</v>
      </c>
      <c r="AG37" s="581">
        <f t="shared" si="37"/>
        <v>0</v>
      </c>
      <c r="AH37" s="70">
        <f>AH38+AH41+AH43</f>
        <v>32</v>
      </c>
      <c r="AI37" s="581">
        <f t="shared" si="38"/>
        <v>1.8262811676282986</v>
      </c>
      <c r="AJ37" s="581">
        <f>AJ38+AJ41+AJ43</f>
        <v>0</v>
      </c>
      <c r="AK37" s="67">
        <f>AK38+AK41+AK43</f>
        <v>17521946</v>
      </c>
    </row>
    <row r="38" spans="1:37" s="578" customFormat="1" x14ac:dyDescent="0.2">
      <c r="A38" s="583" t="s">
        <v>453</v>
      </c>
      <c r="B38" s="71">
        <f>SUM(B39:B40)</f>
        <v>0</v>
      </c>
      <c r="C38" s="72">
        <f t="shared" si="0"/>
        <v>0</v>
      </c>
      <c r="D38" s="73">
        <f t="shared" si="1"/>
        <v>51</v>
      </c>
      <c r="E38" s="72">
        <f t="shared" si="21"/>
        <v>4.8060227946834075</v>
      </c>
      <c r="F38" s="73">
        <f>SUM(F39:F40)</f>
        <v>6</v>
      </c>
      <c r="G38" s="72">
        <f t="shared" si="2"/>
        <v>0.56541444643334204</v>
      </c>
      <c r="H38" s="73">
        <f>SUM(H39:H40)</f>
        <v>0</v>
      </c>
      <c r="I38" s="72">
        <f t="shared" si="3"/>
        <v>0</v>
      </c>
      <c r="J38" s="73">
        <f>SUM(J39:J40)</f>
        <v>45</v>
      </c>
      <c r="K38" s="72">
        <f t="shared" si="4"/>
        <v>4.2406083482500661</v>
      </c>
      <c r="L38" s="72">
        <f>SUM(L39:L40)</f>
        <v>0</v>
      </c>
      <c r="M38" s="75">
        <f>SUM(M39:M40)</f>
        <v>10611685</v>
      </c>
      <c r="N38" s="584">
        <f>SUM(N39:N40)</f>
        <v>0</v>
      </c>
      <c r="O38" s="585">
        <f t="shared" si="9"/>
        <v>0</v>
      </c>
      <c r="P38" s="76">
        <f t="shared" si="18"/>
        <v>26</v>
      </c>
      <c r="Q38" s="585">
        <f t="shared" si="10"/>
        <v>5.2430580902604547</v>
      </c>
      <c r="R38" s="76">
        <f>SUM(R39:R40)</f>
        <v>2</v>
      </c>
      <c r="S38" s="585">
        <f t="shared" si="11"/>
        <v>0.40331216078926574</v>
      </c>
      <c r="T38" s="76">
        <f>SUM(T39:T40)</f>
        <v>0</v>
      </c>
      <c r="U38" s="585">
        <f t="shared" si="20"/>
        <v>0</v>
      </c>
      <c r="V38" s="76">
        <f>SUM(V39:V40)</f>
        <v>24</v>
      </c>
      <c r="W38" s="585">
        <f t="shared" si="12"/>
        <v>4.8397459294711886</v>
      </c>
      <c r="X38" s="585">
        <f>SUM(X39:X40)</f>
        <v>0</v>
      </c>
      <c r="Y38" s="77">
        <f>SUM(Y39:Y40)</f>
        <v>4958938</v>
      </c>
      <c r="Z38" s="584">
        <f>SUM(Z39:Z40)</f>
        <v>0</v>
      </c>
      <c r="AA38" s="586">
        <f t="shared" si="5"/>
        <v>0</v>
      </c>
      <c r="AB38" s="78">
        <f>SUM(AD38,AF38,AH38)</f>
        <v>12</v>
      </c>
      <c r="AC38" s="585">
        <f t="shared" si="5"/>
        <v>2.1228616812321515</v>
      </c>
      <c r="AD38" s="79">
        <f>SUM(AD39:AD40)</f>
        <v>4</v>
      </c>
      <c r="AE38" s="585">
        <f t="shared" si="36"/>
        <v>0.70762056041071708</v>
      </c>
      <c r="AF38" s="79">
        <f>SUM(AF39:AF40)</f>
        <v>0</v>
      </c>
      <c r="AG38" s="585">
        <f t="shared" si="37"/>
        <v>0</v>
      </c>
      <c r="AH38" s="79">
        <f>SUM(AH39:AH40)</f>
        <v>8</v>
      </c>
      <c r="AI38" s="585">
        <f t="shared" si="38"/>
        <v>1.4152411208214342</v>
      </c>
      <c r="AJ38" s="585">
        <f>SUM(AJ39:AJ40)</f>
        <v>0</v>
      </c>
      <c r="AK38" s="77">
        <f>SUM(AK39:AK40)</f>
        <v>5652747</v>
      </c>
    </row>
    <row r="39" spans="1:37" s="613" customFormat="1" x14ac:dyDescent="0.2">
      <c r="A39" s="601" t="s">
        <v>454</v>
      </c>
      <c r="B39" s="614">
        <v>0</v>
      </c>
      <c r="C39" s="615">
        <v>0</v>
      </c>
      <c r="D39" s="616">
        <v>46</v>
      </c>
      <c r="E39" s="615">
        <f t="shared" si="21"/>
        <v>5.3987030202809319</v>
      </c>
      <c r="F39" s="616">
        <v>4</v>
      </c>
      <c r="G39" s="615">
        <f t="shared" si="2"/>
        <v>0.46945243654616803</v>
      </c>
      <c r="H39" s="615">
        <v>0</v>
      </c>
      <c r="I39" s="615">
        <v>0</v>
      </c>
      <c r="J39" s="616">
        <v>42</v>
      </c>
      <c r="K39" s="615">
        <f t="shared" si="4"/>
        <v>4.9292505837347642</v>
      </c>
      <c r="L39" s="615">
        <v>0</v>
      </c>
      <c r="M39" s="617">
        <f t="shared" ref="M39:M40" si="46">Y39+AK39</f>
        <v>8520565</v>
      </c>
      <c r="N39" s="614">
        <v>0</v>
      </c>
      <c r="O39" s="615">
        <v>0</v>
      </c>
      <c r="P39" s="616">
        <v>23</v>
      </c>
      <c r="Q39" s="619">
        <f t="shared" si="10"/>
        <v>5.5176821320899521</v>
      </c>
      <c r="R39" s="616">
        <v>2</v>
      </c>
      <c r="S39" s="619">
        <f t="shared" si="11"/>
        <v>0.47979844626869145</v>
      </c>
      <c r="T39" s="615">
        <v>0</v>
      </c>
      <c r="U39" s="615">
        <v>0</v>
      </c>
      <c r="V39" s="616">
        <v>21</v>
      </c>
      <c r="W39" s="619">
        <f t="shared" si="12"/>
        <v>5.0378836858212601</v>
      </c>
      <c r="X39" s="615">
        <v>0</v>
      </c>
      <c r="Y39" s="621">
        <v>4168417</v>
      </c>
      <c r="Z39" s="614">
        <v>0</v>
      </c>
      <c r="AA39" s="625">
        <v>0</v>
      </c>
      <c r="AB39" s="623">
        <f>AD39+AF39+AH39</f>
        <v>10</v>
      </c>
      <c r="AC39" s="619">
        <f t="shared" si="5"/>
        <v>2.2977159784088221</v>
      </c>
      <c r="AD39" s="616">
        <v>2</v>
      </c>
      <c r="AE39" s="619">
        <f t="shared" si="36"/>
        <v>0.45954319568176449</v>
      </c>
      <c r="AF39" s="615">
        <v>0</v>
      </c>
      <c r="AG39" s="615">
        <v>0</v>
      </c>
      <c r="AH39" s="616">
        <v>8</v>
      </c>
      <c r="AI39" s="619">
        <f t="shared" si="38"/>
        <v>1.838172782727058</v>
      </c>
      <c r="AJ39" s="615">
        <v>0</v>
      </c>
      <c r="AK39" s="621">
        <v>4352148</v>
      </c>
    </row>
    <row r="40" spans="1:37" s="613" customFormat="1" x14ac:dyDescent="0.2">
      <c r="A40" s="601" t="s">
        <v>455</v>
      </c>
      <c r="B40" s="614">
        <f>N40+Z40</f>
        <v>0</v>
      </c>
      <c r="C40" s="615">
        <f t="shared" si="0"/>
        <v>0</v>
      </c>
      <c r="D40" s="616">
        <f t="shared" si="1"/>
        <v>5</v>
      </c>
      <c r="E40" s="615">
        <f t="shared" si="21"/>
        <v>2.391063162324496</v>
      </c>
      <c r="F40" s="616">
        <v>2</v>
      </c>
      <c r="G40" s="615">
        <f t="shared" si="2"/>
        <v>0.95642526492979851</v>
      </c>
      <c r="H40" s="616">
        <f>T40+AF40</f>
        <v>0</v>
      </c>
      <c r="I40" s="615">
        <f t="shared" si="3"/>
        <v>0</v>
      </c>
      <c r="J40" s="616">
        <v>3</v>
      </c>
      <c r="K40" s="615">
        <f t="shared" si="4"/>
        <v>1.4346378973946976</v>
      </c>
      <c r="L40" s="615">
        <f>X40+AJ40</f>
        <v>0</v>
      </c>
      <c r="M40" s="617">
        <f t="shared" si="46"/>
        <v>2091120</v>
      </c>
      <c r="N40" s="618">
        <v>0</v>
      </c>
      <c r="O40" s="619">
        <f t="shared" si="9"/>
        <v>0</v>
      </c>
      <c r="P40" s="620">
        <f t="shared" si="18"/>
        <v>3</v>
      </c>
      <c r="Q40" s="619">
        <f t="shared" si="10"/>
        <v>3.7949655986368485</v>
      </c>
      <c r="R40" s="620"/>
      <c r="S40" s="619">
        <f t="shared" si="11"/>
        <v>0</v>
      </c>
      <c r="T40" s="620"/>
      <c r="U40" s="619">
        <f t="shared" si="20"/>
        <v>0</v>
      </c>
      <c r="V40" s="620">
        <v>3</v>
      </c>
      <c r="W40" s="619">
        <f t="shared" si="12"/>
        <v>3.7949655986368485</v>
      </c>
      <c r="X40" s="619"/>
      <c r="Y40" s="621">
        <v>790521</v>
      </c>
      <c r="Z40" s="618"/>
      <c r="AA40" s="622">
        <f t="shared" si="5"/>
        <v>0</v>
      </c>
      <c r="AB40" s="623">
        <f>AD40+AF40+AH40</f>
        <v>2</v>
      </c>
      <c r="AC40" s="619">
        <f t="shared" si="5"/>
        <v>1.5377529891995918</v>
      </c>
      <c r="AD40" s="624">
        <v>2</v>
      </c>
      <c r="AE40" s="619">
        <f t="shared" si="36"/>
        <v>1.5377529891995918</v>
      </c>
      <c r="AF40" s="624"/>
      <c r="AG40" s="619">
        <f t="shared" ref="AG40:AG44" si="47">(AF40/$AK40)*1000000</f>
        <v>0</v>
      </c>
      <c r="AH40" s="624"/>
      <c r="AI40" s="619">
        <f t="shared" si="38"/>
        <v>0</v>
      </c>
      <c r="AJ40" s="619"/>
      <c r="AK40" s="621">
        <v>1300599</v>
      </c>
    </row>
    <row r="41" spans="1:37" s="578" customFormat="1" x14ac:dyDescent="0.2">
      <c r="A41" s="583" t="s">
        <v>456</v>
      </c>
      <c r="B41" s="71">
        <f t="shared" ref="B41:AJ41" si="48">B42</f>
        <v>0</v>
      </c>
      <c r="C41" s="72">
        <f t="shared" si="0"/>
        <v>0</v>
      </c>
      <c r="D41" s="73">
        <f t="shared" si="1"/>
        <v>17</v>
      </c>
      <c r="E41" s="72">
        <f t="shared" si="21"/>
        <v>3.8108491737630659</v>
      </c>
      <c r="F41" s="73">
        <f t="shared" si="48"/>
        <v>0</v>
      </c>
      <c r="G41" s="72">
        <f t="shared" si="2"/>
        <v>0</v>
      </c>
      <c r="H41" s="73">
        <f t="shared" si="48"/>
        <v>0</v>
      </c>
      <c r="I41" s="72">
        <f t="shared" si="3"/>
        <v>0</v>
      </c>
      <c r="J41" s="73">
        <f t="shared" si="48"/>
        <v>17</v>
      </c>
      <c r="K41" s="72">
        <f t="shared" si="4"/>
        <v>3.8108491737630659</v>
      </c>
      <c r="L41" s="72">
        <f t="shared" si="48"/>
        <v>0</v>
      </c>
      <c r="M41" s="75">
        <f>M42</f>
        <v>4460948</v>
      </c>
      <c r="N41" s="584">
        <f t="shared" si="48"/>
        <v>0</v>
      </c>
      <c r="O41" s="585">
        <f t="shared" si="9"/>
        <v>0</v>
      </c>
      <c r="P41" s="76">
        <f t="shared" si="18"/>
        <v>5</v>
      </c>
      <c r="Q41" s="585">
        <f t="shared" si="10"/>
        <v>3.2155912443309127</v>
      </c>
      <c r="R41" s="76">
        <f t="shared" si="48"/>
        <v>0</v>
      </c>
      <c r="S41" s="585">
        <f t="shared" si="11"/>
        <v>0</v>
      </c>
      <c r="T41" s="76">
        <f t="shared" si="48"/>
        <v>0</v>
      </c>
      <c r="U41" s="585">
        <f t="shared" si="20"/>
        <v>0</v>
      </c>
      <c r="V41" s="76">
        <f t="shared" si="48"/>
        <v>5</v>
      </c>
      <c r="W41" s="585">
        <f t="shared" si="12"/>
        <v>3.2155912443309127</v>
      </c>
      <c r="X41" s="585">
        <f t="shared" si="48"/>
        <v>0</v>
      </c>
      <c r="Y41" s="77">
        <f>Y42</f>
        <v>1554924</v>
      </c>
      <c r="Z41" s="584">
        <f t="shared" si="48"/>
        <v>0</v>
      </c>
      <c r="AA41" s="586">
        <f t="shared" si="5"/>
        <v>0</v>
      </c>
      <c r="AB41" s="78">
        <f>SUM(AD41,AF41,AH41)</f>
        <v>12</v>
      </c>
      <c r="AC41" s="585">
        <f t="shared" si="5"/>
        <v>4.1293533707911569</v>
      </c>
      <c r="AD41" s="79">
        <f t="shared" si="48"/>
        <v>0</v>
      </c>
      <c r="AE41" s="585">
        <f t="shared" si="36"/>
        <v>0</v>
      </c>
      <c r="AF41" s="79">
        <f t="shared" si="48"/>
        <v>0</v>
      </c>
      <c r="AG41" s="585">
        <f t="shared" si="47"/>
        <v>0</v>
      </c>
      <c r="AH41" s="79">
        <f t="shared" si="48"/>
        <v>12</v>
      </c>
      <c r="AI41" s="585">
        <f t="shared" si="38"/>
        <v>4.1293533707911569</v>
      </c>
      <c r="AJ41" s="585">
        <f t="shared" si="48"/>
        <v>0</v>
      </c>
      <c r="AK41" s="77">
        <f>AK42</f>
        <v>2906024</v>
      </c>
    </row>
    <row r="42" spans="1:37" s="613" customFormat="1" x14ac:dyDescent="0.2">
      <c r="A42" s="601" t="s">
        <v>457</v>
      </c>
      <c r="B42" s="614">
        <f>N42+Z42</f>
        <v>0</v>
      </c>
      <c r="C42" s="615">
        <f t="shared" si="0"/>
        <v>0</v>
      </c>
      <c r="D42" s="616">
        <f t="shared" si="1"/>
        <v>17</v>
      </c>
      <c r="E42" s="615">
        <f t="shared" si="21"/>
        <v>3.8108491737630659</v>
      </c>
      <c r="F42" s="616">
        <f>R42+AD42</f>
        <v>0</v>
      </c>
      <c r="G42" s="615">
        <f t="shared" si="2"/>
        <v>0</v>
      </c>
      <c r="H42" s="616">
        <f>T42+AF42</f>
        <v>0</v>
      </c>
      <c r="I42" s="615">
        <f t="shared" si="3"/>
        <v>0</v>
      </c>
      <c r="J42" s="616">
        <v>17</v>
      </c>
      <c r="K42" s="615">
        <f t="shared" si="4"/>
        <v>3.8108491737630659</v>
      </c>
      <c r="L42" s="615">
        <f>X42+AJ42</f>
        <v>0</v>
      </c>
      <c r="M42" s="617">
        <f>Y42+AK42</f>
        <v>4460948</v>
      </c>
      <c r="N42" s="618">
        <v>0</v>
      </c>
      <c r="O42" s="619">
        <f t="shared" si="9"/>
        <v>0</v>
      </c>
      <c r="P42" s="620">
        <f t="shared" si="18"/>
        <v>5</v>
      </c>
      <c r="Q42" s="619">
        <f t="shared" si="10"/>
        <v>3.2155912443309127</v>
      </c>
      <c r="R42" s="620">
        <v>0</v>
      </c>
      <c r="S42" s="619">
        <f t="shared" si="11"/>
        <v>0</v>
      </c>
      <c r="T42" s="620"/>
      <c r="U42" s="619">
        <f t="shared" si="20"/>
        <v>0</v>
      </c>
      <c r="V42" s="620">
        <v>5</v>
      </c>
      <c r="W42" s="619">
        <f t="shared" si="12"/>
        <v>3.2155912443309127</v>
      </c>
      <c r="X42" s="619"/>
      <c r="Y42" s="621">
        <v>1554924</v>
      </c>
      <c r="Z42" s="618"/>
      <c r="AA42" s="622">
        <f t="shared" si="5"/>
        <v>0</v>
      </c>
      <c r="AB42" s="623">
        <f>AD42+AF42+AH42</f>
        <v>12</v>
      </c>
      <c r="AC42" s="619">
        <f t="shared" si="5"/>
        <v>4.1293533707911569</v>
      </c>
      <c r="AD42" s="624">
        <v>0</v>
      </c>
      <c r="AE42" s="619">
        <f t="shared" si="36"/>
        <v>0</v>
      </c>
      <c r="AF42" s="624"/>
      <c r="AG42" s="619">
        <f t="shared" si="47"/>
        <v>0</v>
      </c>
      <c r="AH42" s="624">
        <v>12</v>
      </c>
      <c r="AI42" s="619">
        <f t="shared" si="38"/>
        <v>4.1293533707911569</v>
      </c>
      <c r="AJ42" s="619"/>
      <c r="AK42" s="621">
        <v>2906024</v>
      </c>
    </row>
    <row r="43" spans="1:37" s="578" customFormat="1" x14ac:dyDescent="0.2">
      <c r="A43" s="583" t="s">
        <v>458</v>
      </c>
      <c r="B43" s="71">
        <f t="shared" ref="B43:AJ43" si="49">B44</f>
        <v>0</v>
      </c>
      <c r="C43" s="72">
        <f t="shared" si="0"/>
        <v>0</v>
      </c>
      <c r="D43" s="73">
        <f t="shared" si="1"/>
        <v>25</v>
      </c>
      <c r="E43" s="72">
        <f t="shared" si="21"/>
        <v>1.9276357817006449</v>
      </c>
      <c r="F43" s="73">
        <f t="shared" si="49"/>
        <v>2</v>
      </c>
      <c r="G43" s="72">
        <f t="shared" si="2"/>
        <v>0.1542108625360516</v>
      </c>
      <c r="H43" s="73">
        <f t="shared" si="49"/>
        <v>0</v>
      </c>
      <c r="I43" s="72">
        <f t="shared" si="3"/>
        <v>0</v>
      </c>
      <c r="J43" s="73">
        <f t="shared" si="49"/>
        <v>23</v>
      </c>
      <c r="K43" s="72">
        <f t="shared" si="4"/>
        <v>1.7734249191645934</v>
      </c>
      <c r="L43" s="72">
        <f t="shared" si="49"/>
        <v>0</v>
      </c>
      <c r="M43" s="75">
        <f>M44</f>
        <v>12969255</v>
      </c>
      <c r="N43" s="584">
        <f t="shared" si="49"/>
        <v>0</v>
      </c>
      <c r="O43" s="585">
        <f t="shared" si="9"/>
        <v>0</v>
      </c>
      <c r="P43" s="76">
        <f t="shared" si="18"/>
        <v>12</v>
      </c>
      <c r="Q43" s="585">
        <f t="shared" si="10"/>
        <v>2.9954469206805658</v>
      </c>
      <c r="R43" s="76">
        <f t="shared" si="49"/>
        <v>1</v>
      </c>
      <c r="S43" s="585">
        <f t="shared" si="11"/>
        <v>0.24962057672338045</v>
      </c>
      <c r="T43" s="76">
        <f t="shared" si="49"/>
        <v>0</v>
      </c>
      <c r="U43" s="585">
        <f t="shared" si="20"/>
        <v>0</v>
      </c>
      <c r="V43" s="76">
        <f t="shared" si="49"/>
        <v>11</v>
      </c>
      <c r="W43" s="585">
        <f t="shared" si="12"/>
        <v>2.7458263439571851</v>
      </c>
      <c r="X43" s="585">
        <f t="shared" si="49"/>
        <v>0</v>
      </c>
      <c r="Y43" s="77">
        <f>Y44</f>
        <v>4006080</v>
      </c>
      <c r="Z43" s="584">
        <f t="shared" si="49"/>
        <v>0</v>
      </c>
      <c r="AA43" s="586">
        <f t="shared" si="5"/>
        <v>0</v>
      </c>
      <c r="AB43" s="78">
        <f>SUM(AD43,AF43,AH43)</f>
        <v>13</v>
      </c>
      <c r="AC43" s="585">
        <f t="shared" si="5"/>
        <v>1.4503789114906269</v>
      </c>
      <c r="AD43" s="79">
        <f t="shared" si="49"/>
        <v>1</v>
      </c>
      <c r="AE43" s="585">
        <f t="shared" si="36"/>
        <v>0.11156760857620207</v>
      </c>
      <c r="AF43" s="79">
        <f t="shared" si="49"/>
        <v>0</v>
      </c>
      <c r="AG43" s="585">
        <f t="shared" si="47"/>
        <v>0</v>
      </c>
      <c r="AH43" s="79">
        <f t="shared" si="49"/>
        <v>12</v>
      </c>
      <c r="AI43" s="585">
        <f t="shared" si="38"/>
        <v>1.3388113029144249</v>
      </c>
      <c r="AJ43" s="585">
        <f t="shared" si="49"/>
        <v>0</v>
      </c>
      <c r="AK43" s="77">
        <f>AK44</f>
        <v>8963175</v>
      </c>
    </row>
    <row r="44" spans="1:37" s="613" customFormat="1" ht="12.75" thickBot="1" x14ac:dyDescent="0.25">
      <c r="A44" s="601" t="s">
        <v>459</v>
      </c>
      <c r="B44" s="602">
        <f>N44+Z44</f>
        <v>0</v>
      </c>
      <c r="C44" s="603">
        <f t="shared" si="0"/>
        <v>0</v>
      </c>
      <c r="D44" s="604">
        <f t="shared" si="1"/>
        <v>25</v>
      </c>
      <c r="E44" s="603">
        <f t="shared" si="21"/>
        <v>1.9276357817006449</v>
      </c>
      <c r="F44" s="604">
        <v>2</v>
      </c>
      <c r="G44" s="603">
        <f t="shared" si="2"/>
        <v>0.1542108625360516</v>
      </c>
      <c r="H44" s="604">
        <f>T44+AF44</f>
        <v>0</v>
      </c>
      <c r="I44" s="603">
        <f t="shared" si="3"/>
        <v>0</v>
      </c>
      <c r="J44" s="604">
        <v>23</v>
      </c>
      <c r="K44" s="603">
        <f t="shared" si="4"/>
        <v>1.7734249191645934</v>
      </c>
      <c r="L44" s="603">
        <f>X44+AJ44</f>
        <v>0</v>
      </c>
      <c r="M44" s="605">
        <v>12969255</v>
      </c>
      <c r="N44" s="606">
        <v>0</v>
      </c>
      <c r="O44" s="607">
        <f t="shared" si="9"/>
        <v>0</v>
      </c>
      <c r="P44" s="608">
        <f t="shared" si="18"/>
        <v>12</v>
      </c>
      <c r="Q44" s="607">
        <f t="shared" si="10"/>
        <v>2.9954469206805658</v>
      </c>
      <c r="R44" s="608">
        <v>1</v>
      </c>
      <c r="S44" s="607">
        <f t="shared" si="11"/>
        <v>0.24962057672338045</v>
      </c>
      <c r="T44" s="608"/>
      <c r="U44" s="607">
        <f t="shared" si="20"/>
        <v>0</v>
      </c>
      <c r="V44" s="608">
        <v>11</v>
      </c>
      <c r="W44" s="607">
        <f t="shared" si="12"/>
        <v>2.7458263439571851</v>
      </c>
      <c r="X44" s="607"/>
      <c r="Y44" s="609">
        <v>4006080</v>
      </c>
      <c r="Z44" s="606">
        <v>0</v>
      </c>
      <c r="AA44" s="610">
        <f t="shared" si="5"/>
        <v>0</v>
      </c>
      <c r="AB44" s="611">
        <f>AD44+AF44+AH44</f>
        <v>13</v>
      </c>
      <c r="AC44" s="607">
        <f t="shared" si="5"/>
        <v>1.4503789114906269</v>
      </c>
      <c r="AD44" s="612">
        <v>1</v>
      </c>
      <c r="AE44" s="607">
        <f t="shared" si="36"/>
        <v>0.11156760857620207</v>
      </c>
      <c r="AF44" s="612"/>
      <c r="AG44" s="607">
        <f t="shared" si="47"/>
        <v>0</v>
      </c>
      <c r="AH44" s="612">
        <v>12</v>
      </c>
      <c r="AI44" s="607">
        <f t="shared" si="38"/>
        <v>1.3388113029144249</v>
      </c>
      <c r="AJ44" s="607"/>
      <c r="AK44" s="609">
        <v>8963175</v>
      </c>
    </row>
    <row r="45" spans="1:37" s="591" customFormat="1" x14ac:dyDescent="0.2">
      <c r="A45" s="588"/>
      <c r="B45" s="589"/>
      <c r="C45" s="589"/>
      <c r="D45" s="589"/>
      <c r="E45" s="589"/>
      <c r="F45" s="589"/>
      <c r="G45" s="589"/>
      <c r="H45" s="589"/>
      <c r="I45" s="589"/>
      <c r="J45" s="589"/>
      <c r="K45" s="589"/>
      <c r="L45" s="589"/>
      <c r="M45" s="590"/>
      <c r="N45" s="589"/>
      <c r="O45" s="589"/>
      <c r="P45" s="589"/>
      <c r="Q45" s="589"/>
      <c r="R45" s="589"/>
      <c r="S45" s="589"/>
      <c r="T45" s="589"/>
      <c r="U45" s="589"/>
      <c r="V45" s="589"/>
      <c r="W45" s="589"/>
      <c r="X45" s="589"/>
      <c r="Y45" s="589"/>
      <c r="Z45" s="589"/>
      <c r="AA45" s="589"/>
      <c r="AB45" s="589"/>
      <c r="AC45" s="589"/>
      <c r="AD45" s="589"/>
      <c r="AE45" s="589"/>
      <c r="AF45" s="589"/>
      <c r="AG45" s="589"/>
      <c r="AH45" s="589"/>
      <c r="AI45" s="589"/>
      <c r="AJ45" s="589"/>
      <c r="AK45" s="589"/>
    </row>
    <row r="46" spans="1:37" s="591" customFormat="1" x14ac:dyDescent="0.2">
      <c r="A46" s="588" t="s">
        <v>483</v>
      </c>
      <c r="B46" s="591" t="s">
        <v>520</v>
      </c>
      <c r="C46" s="589"/>
      <c r="D46" s="589"/>
      <c r="E46" s="589"/>
      <c r="F46" s="589"/>
      <c r="G46" s="589"/>
      <c r="H46" s="589"/>
      <c r="I46" s="589"/>
      <c r="J46" s="589"/>
      <c r="K46" s="589"/>
      <c r="L46" s="589"/>
      <c r="M46" s="590"/>
      <c r="N46" s="589"/>
      <c r="O46" s="589"/>
      <c r="P46" s="589"/>
      <c r="Q46" s="589"/>
      <c r="R46" s="589"/>
      <c r="S46" s="589"/>
      <c r="T46" s="589"/>
      <c r="U46" s="589"/>
      <c r="V46" s="589"/>
      <c r="W46" s="589"/>
      <c r="X46" s="589"/>
      <c r="Y46" s="589"/>
      <c r="Z46" s="589"/>
      <c r="AA46" s="589"/>
      <c r="AB46" s="589"/>
      <c r="AC46" s="589"/>
      <c r="AD46" s="589"/>
      <c r="AE46" s="589"/>
      <c r="AF46" s="589"/>
      <c r="AG46" s="589"/>
      <c r="AH46" s="589"/>
      <c r="AI46" s="589"/>
      <c r="AJ46" s="589"/>
      <c r="AK46" s="589"/>
    </row>
  </sheetData>
  <sheetProtection algorithmName="SHA-512" hashValue="IcUqtZL6DYW2L01TmpWjD/cvaqcgxvfyXvivGJlj5lP/ruOLaCwECokaMXEYR7eRJx4bgJwhXJdQHT9MnIGeUw==" saltValue="YyEX60ft59WX/CjvouTtwA==" spinCount="100000" sheet="1" objects="1" scenarios="1"/>
  <mergeCells count="3">
    <mergeCell ref="B1:M1"/>
    <mergeCell ref="N1:Y1"/>
    <mergeCell ref="Z1:AK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2E85-232A-4CCE-8E39-E108EE902BFE}">
  <dimension ref="A1:BJ128"/>
  <sheetViews>
    <sheetView showGridLines="0" zoomScaleNormal="100" workbookViewId="0">
      <pane xSplit="1" ySplit="4" topLeftCell="B5" activePane="bottomRight" state="frozen"/>
      <selection pane="topRight" activeCell="B1" sqref="B1"/>
      <selection pane="bottomLeft" activeCell="A5" sqref="A5"/>
      <selection pane="bottomRight"/>
    </sheetView>
  </sheetViews>
  <sheetFormatPr defaultColWidth="9.140625" defaultRowHeight="12" x14ac:dyDescent="0.2"/>
  <cols>
    <col min="1" max="1" width="31.42578125" style="13" customWidth="1"/>
    <col min="2" max="49" width="12.85546875" style="54" customWidth="1"/>
    <col min="50" max="50" width="12.85546875" style="12" customWidth="1"/>
    <col min="51" max="54" width="12.85546875" style="93" customWidth="1"/>
    <col min="55" max="55" width="21.7109375" style="7" hidden="1" customWidth="1"/>
    <col min="56" max="56" width="20.85546875" style="7" hidden="1" customWidth="1"/>
    <col min="57" max="57" width="15.42578125" style="7" hidden="1" customWidth="1"/>
    <col min="58" max="59" width="0" style="7" hidden="1" customWidth="1"/>
    <col min="60" max="16384" width="9.140625" style="7"/>
  </cols>
  <sheetData>
    <row r="1" spans="1:62" s="10" customFormat="1" ht="12.75" customHeight="1" x14ac:dyDescent="0.2">
      <c r="A1" s="164"/>
      <c r="B1" s="854" t="s">
        <v>195</v>
      </c>
      <c r="C1" s="855"/>
      <c r="D1" s="855"/>
      <c r="E1" s="855"/>
      <c r="F1" s="855"/>
      <c r="G1" s="855"/>
      <c r="H1" s="855"/>
      <c r="I1" s="855"/>
      <c r="J1" s="855"/>
      <c r="K1" s="855"/>
      <c r="L1" s="855"/>
      <c r="M1" s="855"/>
      <c r="N1" s="855"/>
      <c r="O1" s="855"/>
      <c r="P1" s="855"/>
      <c r="Q1" s="855"/>
      <c r="R1" s="855"/>
      <c r="S1" s="855"/>
      <c r="T1" s="855"/>
      <c r="U1" s="855"/>
      <c r="V1" s="856"/>
      <c r="W1" s="854" t="s">
        <v>199</v>
      </c>
      <c r="X1" s="855"/>
      <c r="Y1" s="855"/>
      <c r="Z1" s="855"/>
      <c r="AA1" s="855"/>
      <c r="AB1" s="855"/>
      <c r="AC1" s="855"/>
      <c r="AD1" s="855"/>
      <c r="AE1" s="855"/>
      <c r="AF1" s="855"/>
      <c r="AG1" s="855"/>
      <c r="AH1" s="855"/>
      <c r="AI1" s="855"/>
      <c r="AJ1" s="855"/>
      <c r="AK1" s="855"/>
      <c r="AL1" s="855"/>
      <c r="AM1" s="856"/>
      <c r="AN1" s="854" t="s">
        <v>202</v>
      </c>
      <c r="AO1" s="855"/>
      <c r="AP1" s="855"/>
      <c r="AQ1" s="855"/>
      <c r="AR1" s="855"/>
      <c r="AS1" s="855"/>
      <c r="AT1" s="855"/>
      <c r="AU1" s="855"/>
      <c r="AV1" s="856"/>
      <c r="AW1" s="857" t="s">
        <v>521</v>
      </c>
      <c r="AX1" s="858"/>
      <c r="AY1" s="858"/>
      <c r="AZ1" s="858"/>
      <c r="BA1" s="858"/>
      <c r="BB1" s="859"/>
      <c r="BC1" s="91" t="s">
        <v>522</v>
      </c>
      <c r="BD1" s="91"/>
      <c r="BE1" s="91"/>
      <c r="BF1" s="88" t="s">
        <v>523</v>
      </c>
      <c r="BG1" s="88" t="s">
        <v>523</v>
      </c>
      <c r="BH1" s="88"/>
      <c r="BI1" s="88"/>
      <c r="BJ1" s="88"/>
    </row>
    <row r="2" spans="1:62" s="10" customFormat="1" ht="12" customHeight="1" x14ac:dyDescent="0.2">
      <c r="A2" s="164" t="s">
        <v>524</v>
      </c>
      <c r="B2" s="863" t="s">
        <v>525</v>
      </c>
      <c r="C2" s="861"/>
      <c r="D2" s="861"/>
      <c r="E2" s="861"/>
      <c r="F2" s="861"/>
      <c r="G2" s="861"/>
      <c r="H2" s="861"/>
      <c r="I2" s="861"/>
      <c r="J2" s="862"/>
      <c r="K2" s="860" t="s">
        <v>526</v>
      </c>
      <c r="L2" s="861"/>
      <c r="M2" s="861"/>
      <c r="N2" s="861"/>
      <c r="O2" s="861"/>
      <c r="P2" s="861"/>
      <c r="Q2" s="861"/>
      <c r="R2" s="861"/>
      <c r="S2" s="862"/>
      <c r="T2" s="171"/>
      <c r="U2" s="171"/>
      <c r="V2" s="172"/>
      <c r="W2" s="863" t="s">
        <v>525</v>
      </c>
      <c r="X2" s="861"/>
      <c r="Y2" s="861"/>
      <c r="Z2" s="861"/>
      <c r="AA2" s="861"/>
      <c r="AB2" s="861"/>
      <c r="AC2" s="861"/>
      <c r="AD2" s="862"/>
      <c r="AE2" s="860" t="s">
        <v>526</v>
      </c>
      <c r="AF2" s="861"/>
      <c r="AG2" s="861"/>
      <c r="AH2" s="861"/>
      <c r="AI2" s="861"/>
      <c r="AJ2" s="861"/>
      <c r="AK2" s="861"/>
      <c r="AL2" s="862"/>
      <c r="AM2" s="779"/>
      <c r="AN2" s="863" t="s">
        <v>525</v>
      </c>
      <c r="AO2" s="861"/>
      <c r="AP2" s="861"/>
      <c r="AQ2" s="862"/>
      <c r="AR2" s="860" t="s">
        <v>526</v>
      </c>
      <c r="AS2" s="861"/>
      <c r="AT2" s="861"/>
      <c r="AU2" s="862"/>
      <c r="AV2" s="159"/>
      <c r="AW2" s="160"/>
      <c r="AX2" s="161"/>
      <c r="AY2" s="162"/>
      <c r="AZ2" s="162"/>
      <c r="BA2" s="162"/>
      <c r="BB2" s="163"/>
      <c r="BC2" s="88" t="s">
        <v>527</v>
      </c>
      <c r="BD2" s="88"/>
      <c r="BE2" s="88"/>
      <c r="BF2" s="88"/>
      <c r="BG2" s="88"/>
      <c r="BH2" s="88"/>
      <c r="BI2" s="88"/>
      <c r="BJ2" s="88"/>
    </row>
    <row r="3" spans="1:62" s="28" customFormat="1" ht="48.75" customHeight="1" x14ac:dyDescent="0.2">
      <c r="A3" s="165"/>
      <c r="B3" s="150" t="s">
        <v>528</v>
      </c>
      <c r="C3" s="151" t="s">
        <v>529</v>
      </c>
      <c r="D3" s="151" t="s">
        <v>530</v>
      </c>
      <c r="E3" s="151" t="s">
        <v>531</v>
      </c>
      <c r="F3" s="151" t="s">
        <v>532</v>
      </c>
      <c r="G3" s="151" t="s">
        <v>533</v>
      </c>
      <c r="H3" s="151" t="s">
        <v>534</v>
      </c>
      <c r="I3" s="151" t="s">
        <v>535</v>
      </c>
      <c r="J3" s="152" t="s">
        <v>536</v>
      </c>
      <c r="K3" s="153" t="s">
        <v>529</v>
      </c>
      <c r="L3" s="151" t="s">
        <v>530</v>
      </c>
      <c r="M3" s="151" t="s">
        <v>531</v>
      </c>
      <c r="N3" s="151" t="s">
        <v>537</v>
      </c>
      <c r="O3" s="151" t="s">
        <v>533</v>
      </c>
      <c r="P3" s="151" t="s">
        <v>538</v>
      </c>
      <c r="Q3" s="151" t="s">
        <v>534</v>
      </c>
      <c r="R3" s="151" t="s">
        <v>535</v>
      </c>
      <c r="S3" s="152" t="s">
        <v>382</v>
      </c>
      <c r="T3" s="154" t="s">
        <v>539</v>
      </c>
      <c r="U3" s="154" t="s">
        <v>540</v>
      </c>
      <c r="V3" s="155" t="s">
        <v>541</v>
      </c>
      <c r="W3" s="774" t="s">
        <v>542</v>
      </c>
      <c r="X3" s="775" t="s">
        <v>543</v>
      </c>
      <c r="Y3" s="775" t="s">
        <v>544</v>
      </c>
      <c r="Z3" s="775" t="s">
        <v>545</v>
      </c>
      <c r="AA3" s="775" t="s">
        <v>546</v>
      </c>
      <c r="AB3" s="775" t="s">
        <v>547</v>
      </c>
      <c r="AC3" s="775" t="s">
        <v>548</v>
      </c>
      <c r="AD3" s="776" t="s">
        <v>382</v>
      </c>
      <c r="AE3" s="777" t="s">
        <v>542</v>
      </c>
      <c r="AF3" s="775" t="s">
        <v>543</v>
      </c>
      <c r="AG3" s="775" t="s">
        <v>544</v>
      </c>
      <c r="AH3" s="775" t="s">
        <v>545</v>
      </c>
      <c r="AI3" s="775" t="s">
        <v>549</v>
      </c>
      <c r="AJ3" s="775" t="s">
        <v>550</v>
      </c>
      <c r="AK3" s="775" t="s">
        <v>548</v>
      </c>
      <c r="AL3" s="776" t="s">
        <v>398</v>
      </c>
      <c r="AM3" s="778" t="s">
        <v>382</v>
      </c>
      <c r="AN3" s="150" t="s">
        <v>551</v>
      </c>
      <c r="AO3" s="151" t="s">
        <v>533</v>
      </c>
      <c r="AP3" s="151" t="s">
        <v>413</v>
      </c>
      <c r="AQ3" s="152" t="s">
        <v>552</v>
      </c>
      <c r="AR3" s="153" t="s">
        <v>551</v>
      </c>
      <c r="AS3" s="151" t="s">
        <v>533</v>
      </c>
      <c r="AT3" s="151" t="s">
        <v>413</v>
      </c>
      <c r="AU3" s="152" t="s">
        <v>553</v>
      </c>
      <c r="AV3" s="155" t="s">
        <v>554</v>
      </c>
      <c r="AW3" s="150" t="s">
        <v>555</v>
      </c>
      <c r="AX3" s="9" t="s">
        <v>556</v>
      </c>
      <c r="AY3" s="156" t="s">
        <v>557</v>
      </c>
      <c r="AZ3" s="156" t="s">
        <v>558</v>
      </c>
      <c r="BA3" s="156" t="s">
        <v>559</v>
      </c>
      <c r="BB3" s="157" t="s">
        <v>560</v>
      </c>
      <c r="BC3" s="158" t="s">
        <v>561</v>
      </c>
      <c r="BD3" s="158"/>
      <c r="BE3" s="158"/>
    </row>
    <row r="4" spans="1:62" ht="15" customHeight="1" x14ac:dyDescent="0.2">
      <c r="A4" s="56" t="s">
        <v>562</v>
      </c>
      <c r="B4" s="102" t="s">
        <v>563</v>
      </c>
      <c r="C4" s="81" t="s">
        <v>563</v>
      </c>
      <c r="D4" s="81" t="s">
        <v>563</v>
      </c>
      <c r="E4" s="81" t="s">
        <v>563</v>
      </c>
      <c r="F4" s="81" t="s">
        <v>563</v>
      </c>
      <c r="G4" s="81" t="s">
        <v>563</v>
      </c>
      <c r="H4" s="81" t="s">
        <v>563</v>
      </c>
      <c r="I4" s="81" t="s">
        <v>563</v>
      </c>
      <c r="J4" s="123" t="s">
        <v>563</v>
      </c>
      <c r="K4" s="132" t="s">
        <v>563</v>
      </c>
      <c r="L4" s="81" t="s">
        <v>563</v>
      </c>
      <c r="M4" s="81" t="s">
        <v>563</v>
      </c>
      <c r="N4" s="81" t="s">
        <v>563</v>
      </c>
      <c r="O4" s="81" t="s">
        <v>563</v>
      </c>
      <c r="P4" s="81" t="s">
        <v>563</v>
      </c>
      <c r="Q4" s="81" t="s">
        <v>563</v>
      </c>
      <c r="R4" s="81" t="s">
        <v>563</v>
      </c>
      <c r="S4" s="123" t="s">
        <v>563</v>
      </c>
      <c r="T4" s="141" t="s">
        <v>563</v>
      </c>
      <c r="U4" s="141" t="s">
        <v>563</v>
      </c>
      <c r="V4" s="103" t="s">
        <v>563</v>
      </c>
      <c r="W4" s="737" t="s">
        <v>563</v>
      </c>
      <c r="X4" s="728" t="s">
        <v>563</v>
      </c>
      <c r="Y4" s="728" t="s">
        <v>563</v>
      </c>
      <c r="Z4" s="728" t="s">
        <v>563</v>
      </c>
      <c r="AA4" s="728" t="s">
        <v>563</v>
      </c>
      <c r="AB4" s="728" t="s">
        <v>563</v>
      </c>
      <c r="AC4" s="728" t="s">
        <v>563</v>
      </c>
      <c r="AD4" s="756" t="s">
        <v>563</v>
      </c>
      <c r="AE4" s="765" t="s">
        <v>563</v>
      </c>
      <c r="AF4" s="728" t="s">
        <v>563</v>
      </c>
      <c r="AG4" s="728" t="s">
        <v>563</v>
      </c>
      <c r="AH4" s="728" t="s">
        <v>563</v>
      </c>
      <c r="AI4" s="728" t="s">
        <v>563</v>
      </c>
      <c r="AJ4" s="728" t="s">
        <v>563</v>
      </c>
      <c r="AK4" s="728" t="s">
        <v>563</v>
      </c>
      <c r="AL4" s="756" t="s">
        <v>563</v>
      </c>
      <c r="AM4" s="738" t="s">
        <v>563</v>
      </c>
      <c r="AN4" s="102" t="s">
        <v>563</v>
      </c>
      <c r="AO4" s="81" t="s">
        <v>563</v>
      </c>
      <c r="AP4" s="81" t="s">
        <v>563</v>
      </c>
      <c r="AQ4" s="123" t="s">
        <v>563</v>
      </c>
      <c r="AR4" s="132" t="s">
        <v>563</v>
      </c>
      <c r="AS4" s="81" t="s">
        <v>563</v>
      </c>
      <c r="AT4" s="81" t="s">
        <v>563</v>
      </c>
      <c r="AU4" s="123" t="s">
        <v>563</v>
      </c>
      <c r="AV4" s="103" t="s">
        <v>563</v>
      </c>
      <c r="AW4" s="102" t="s">
        <v>563</v>
      </c>
      <c r="AX4" s="82" t="s">
        <v>564</v>
      </c>
      <c r="AY4" s="83" t="s">
        <v>565</v>
      </c>
      <c r="AZ4" s="83" t="s">
        <v>566</v>
      </c>
      <c r="BA4" s="83" t="s">
        <v>567</v>
      </c>
      <c r="BB4" s="121" t="s">
        <v>566</v>
      </c>
      <c r="BC4" s="85" t="s">
        <v>568</v>
      </c>
      <c r="BD4" s="85" t="s">
        <v>569</v>
      </c>
      <c r="BE4" s="85" t="s">
        <v>570</v>
      </c>
    </row>
    <row r="5" spans="1:62" x14ac:dyDescent="0.2">
      <c r="A5" s="166" t="s">
        <v>417</v>
      </c>
      <c r="B5" s="104">
        <f t="shared" ref="B5:AU5" si="0">B8+B36</f>
        <v>130285.73626069362</v>
      </c>
      <c r="C5" s="94">
        <f t="shared" si="0"/>
        <v>59085.735764140489</v>
      </c>
      <c r="D5" s="94">
        <f t="shared" si="0"/>
        <v>109</v>
      </c>
      <c r="E5" s="94">
        <f t="shared" si="0"/>
        <v>18486.029276604262</v>
      </c>
      <c r="F5" s="94">
        <f t="shared" si="0"/>
        <v>1750.1271704333335</v>
      </c>
      <c r="G5" s="94">
        <f t="shared" si="0"/>
        <v>274.49112399394198</v>
      </c>
      <c r="H5" s="94">
        <f t="shared" si="0"/>
        <v>180.71169</v>
      </c>
      <c r="I5" s="94">
        <f t="shared" si="0"/>
        <v>227.24199999999999</v>
      </c>
      <c r="J5" s="124">
        <f t="shared" si="0"/>
        <v>210399.07328586566</v>
      </c>
      <c r="K5" s="133">
        <f t="shared" si="0"/>
        <v>1215</v>
      </c>
      <c r="L5" s="94">
        <f t="shared" si="0"/>
        <v>0</v>
      </c>
      <c r="M5" s="94">
        <f t="shared" si="0"/>
        <v>3615.04934</v>
      </c>
      <c r="N5" s="94">
        <f t="shared" si="0"/>
        <v>1432.4480000000001</v>
      </c>
      <c r="O5" s="94">
        <f t="shared" si="0"/>
        <v>706.2</v>
      </c>
      <c r="P5" s="94">
        <f t="shared" si="0"/>
        <v>0</v>
      </c>
      <c r="Q5" s="94">
        <f t="shared" si="0"/>
        <v>0</v>
      </c>
      <c r="R5" s="94">
        <f t="shared" si="0"/>
        <v>957.92</v>
      </c>
      <c r="S5" s="124">
        <f t="shared" si="0"/>
        <v>7926.6173399999998</v>
      </c>
      <c r="T5" s="142">
        <f t="shared" si="0"/>
        <v>218325.69062586565</v>
      </c>
      <c r="U5" s="142">
        <f t="shared" si="0"/>
        <v>-3817.7457499999996</v>
      </c>
      <c r="V5" s="105">
        <f t="shared" si="0"/>
        <v>126778.93044209782</v>
      </c>
      <c r="W5" s="739">
        <f t="shared" si="0"/>
        <v>68789.41043037099</v>
      </c>
      <c r="X5" s="732">
        <f t="shared" si="0"/>
        <v>385.80700000000002</v>
      </c>
      <c r="Y5" s="732">
        <f t="shared" si="0"/>
        <v>3217.5923249297639</v>
      </c>
      <c r="Z5" s="732">
        <f t="shared" si="0"/>
        <v>0</v>
      </c>
      <c r="AA5" s="732">
        <f t="shared" si="0"/>
        <v>0</v>
      </c>
      <c r="AB5" s="732">
        <f t="shared" si="0"/>
        <v>0</v>
      </c>
      <c r="AC5" s="732">
        <f t="shared" si="0"/>
        <v>337.71000000000004</v>
      </c>
      <c r="AD5" s="757">
        <f t="shared" si="0"/>
        <v>72730.519755300746</v>
      </c>
      <c r="AE5" s="766">
        <f t="shared" si="0"/>
        <v>48757.7</v>
      </c>
      <c r="AF5" s="732">
        <f t="shared" si="0"/>
        <v>0</v>
      </c>
      <c r="AG5" s="732">
        <f t="shared" si="0"/>
        <v>691</v>
      </c>
      <c r="AH5" s="732">
        <f t="shared" si="0"/>
        <v>0</v>
      </c>
      <c r="AI5" s="732">
        <f t="shared" si="0"/>
        <v>0</v>
      </c>
      <c r="AJ5" s="732">
        <f t="shared" si="0"/>
        <v>0</v>
      </c>
      <c r="AK5" s="732">
        <f t="shared" si="0"/>
        <v>16</v>
      </c>
      <c r="AL5" s="757">
        <f t="shared" si="0"/>
        <v>49464.7</v>
      </c>
      <c r="AM5" s="740">
        <f t="shared" si="0"/>
        <v>122195.21975530076</v>
      </c>
      <c r="AN5" s="104">
        <f t="shared" si="0"/>
        <v>48222.710933936716</v>
      </c>
      <c r="AO5" s="94">
        <f t="shared" si="0"/>
        <v>13958.845706859265</v>
      </c>
      <c r="AP5" s="94">
        <f t="shared" si="0"/>
        <v>18700.441884902211</v>
      </c>
      <c r="AQ5" s="124">
        <f t="shared" si="0"/>
        <v>80881.998525698189</v>
      </c>
      <c r="AR5" s="133">
        <f t="shared" si="0"/>
        <v>9221.2309999999998</v>
      </c>
      <c r="AS5" s="94">
        <f t="shared" si="0"/>
        <v>8531.2910000000011</v>
      </c>
      <c r="AT5" s="94">
        <f t="shared" si="0"/>
        <v>1313.6759999999999</v>
      </c>
      <c r="AU5" s="124">
        <f t="shared" si="0"/>
        <v>19066.198</v>
      </c>
      <c r="AV5" s="105">
        <f>AV8+AV36</f>
        <v>99948.196525698178</v>
      </c>
      <c r="AW5" s="104">
        <f>AW8+AW36</f>
        <v>439030.11084255786</v>
      </c>
      <c r="AX5" s="95">
        <f t="shared" ref="AX5:AX10" si="1">(AW5)/(AW5+T5)</f>
        <v>0.66787287776549253</v>
      </c>
      <c r="AY5" s="679">
        <f>(T5-T24-T32)/BC5</f>
        <v>3.0559393696749731E-2</v>
      </c>
      <c r="AZ5" s="680">
        <f t="shared" ref="AZ5:AZ10" si="2">T5/BE5</f>
        <v>1.6376084558454576E-3</v>
      </c>
      <c r="BA5" s="680">
        <f>(AV5-AV24-AV32)/BC5</f>
        <v>1.3074094453305476E-2</v>
      </c>
      <c r="BB5" s="681">
        <f t="shared" ref="BB5:BB10" si="3">AV5/BE5</f>
        <v>7.4968736527425309E-4</v>
      </c>
      <c r="BC5" s="87">
        <f>BC8+BC36</f>
        <v>6730596.512055208</v>
      </c>
      <c r="BD5" s="87">
        <f>BD8+BD36</f>
        <v>337078243</v>
      </c>
      <c r="BE5" s="87">
        <f>BE8+BE36</f>
        <v>133319835.91471466</v>
      </c>
      <c r="BG5" s="677">
        <f>BB5*1000</f>
        <v>0.74968736527425306</v>
      </c>
    </row>
    <row r="6" spans="1:62" s="10" customFormat="1" x14ac:dyDescent="0.2">
      <c r="A6" s="217" t="s">
        <v>628</v>
      </c>
      <c r="B6" s="699">
        <f>B23+B25+B27+B28+B30+B29</f>
        <v>1578.4479999999999</v>
      </c>
      <c r="C6" s="700">
        <f t="shared" ref="C6:AW6" si="4">C23+C25+C27+C28+C30+C29</f>
        <v>166.83199999999999</v>
      </c>
      <c r="D6" s="700">
        <f t="shared" si="4"/>
        <v>0</v>
      </c>
      <c r="E6" s="700">
        <f t="shared" si="4"/>
        <v>15138.850457900944</v>
      </c>
      <c r="F6" s="700">
        <f t="shared" si="4"/>
        <v>0</v>
      </c>
      <c r="G6" s="700">
        <f t="shared" si="4"/>
        <v>16</v>
      </c>
      <c r="H6" s="700">
        <f t="shared" si="4"/>
        <v>82.822000000000003</v>
      </c>
      <c r="I6" s="700">
        <f t="shared" si="4"/>
        <v>0</v>
      </c>
      <c r="J6" s="701">
        <f t="shared" si="4"/>
        <v>16982.952457900945</v>
      </c>
      <c r="K6" s="702">
        <f t="shared" si="4"/>
        <v>0</v>
      </c>
      <c r="L6" s="700">
        <f t="shared" si="4"/>
        <v>0</v>
      </c>
      <c r="M6" s="700">
        <f t="shared" si="4"/>
        <v>1643</v>
      </c>
      <c r="N6" s="700">
        <f t="shared" si="4"/>
        <v>0</v>
      </c>
      <c r="O6" s="700">
        <f t="shared" si="4"/>
        <v>335.2</v>
      </c>
      <c r="P6" s="700">
        <f t="shared" si="4"/>
        <v>0</v>
      </c>
      <c r="Q6" s="700">
        <f t="shared" si="4"/>
        <v>0</v>
      </c>
      <c r="R6" s="700">
        <f t="shared" si="4"/>
        <v>957.92</v>
      </c>
      <c r="S6" s="701">
        <f t="shared" si="4"/>
        <v>2936.12</v>
      </c>
      <c r="T6" s="703">
        <f t="shared" si="4"/>
        <v>19919.072457900944</v>
      </c>
      <c r="U6" s="703">
        <f t="shared" si="4"/>
        <v>0</v>
      </c>
      <c r="V6" s="704">
        <f t="shared" si="4"/>
        <v>75186.37648209781</v>
      </c>
      <c r="W6" s="699">
        <f t="shared" si="4"/>
        <v>104.986</v>
      </c>
      <c r="X6" s="700">
        <f t="shared" si="4"/>
        <v>0</v>
      </c>
      <c r="Y6" s="700">
        <f t="shared" si="4"/>
        <v>0</v>
      </c>
      <c r="Z6" s="700">
        <f t="shared" si="4"/>
        <v>0</v>
      </c>
      <c r="AA6" s="700">
        <f t="shared" si="4"/>
        <v>0</v>
      </c>
      <c r="AB6" s="700">
        <f t="shared" si="4"/>
        <v>0</v>
      </c>
      <c r="AC6" s="700">
        <f t="shared" si="4"/>
        <v>0</v>
      </c>
      <c r="AD6" s="701">
        <f t="shared" si="4"/>
        <v>104.986</v>
      </c>
      <c r="AE6" s="702">
        <f t="shared" si="4"/>
        <v>0</v>
      </c>
      <c r="AF6" s="700">
        <f t="shared" si="4"/>
        <v>0</v>
      </c>
      <c r="AG6" s="700">
        <f t="shared" si="4"/>
        <v>0</v>
      </c>
      <c r="AH6" s="700">
        <f t="shared" si="4"/>
        <v>0</v>
      </c>
      <c r="AI6" s="700">
        <f t="shared" si="4"/>
        <v>0</v>
      </c>
      <c r="AJ6" s="700">
        <f t="shared" si="4"/>
        <v>0</v>
      </c>
      <c r="AK6" s="700">
        <f t="shared" si="4"/>
        <v>16</v>
      </c>
      <c r="AL6" s="701">
        <f t="shared" si="4"/>
        <v>16</v>
      </c>
      <c r="AM6" s="704">
        <f t="shared" si="4"/>
        <v>120.986</v>
      </c>
      <c r="AN6" s="699">
        <f t="shared" si="4"/>
        <v>10389.068126569286</v>
      </c>
      <c r="AO6" s="700">
        <f t="shared" si="4"/>
        <v>6618.775331331658</v>
      </c>
      <c r="AP6" s="700">
        <f t="shared" si="4"/>
        <v>82.822000000000003</v>
      </c>
      <c r="AQ6" s="701">
        <f t="shared" si="4"/>
        <v>17090.665457900945</v>
      </c>
      <c r="AR6" s="702">
        <f t="shared" si="4"/>
        <v>935.03099999999995</v>
      </c>
      <c r="AS6" s="700">
        <f t="shared" si="4"/>
        <v>1722.2909999999999</v>
      </c>
      <c r="AT6" s="700">
        <f t="shared" si="4"/>
        <v>50.099000000000004</v>
      </c>
      <c r="AU6" s="701">
        <f t="shared" si="4"/>
        <v>2707.4209999999998</v>
      </c>
      <c r="AV6" s="704">
        <f t="shared" si="4"/>
        <v>19798.086457900943</v>
      </c>
      <c r="AW6" s="699">
        <f t="shared" si="4"/>
        <v>101572.32227905958</v>
      </c>
      <c r="AX6" s="705">
        <f t="shared" si="1"/>
        <v>0.83604540468872324</v>
      </c>
      <c r="AY6" s="706">
        <f>(T6-T25)/BC6</f>
        <v>7.2941373409784564E-3</v>
      </c>
      <c r="AZ6" s="707">
        <f t="shared" si="2"/>
        <v>5.6109524497899483E-4</v>
      </c>
      <c r="BA6" s="707">
        <f>(AV6-AV25)/BC6</f>
        <v>7.2473912316069946E-3</v>
      </c>
      <c r="BB6" s="708">
        <f t="shared" si="3"/>
        <v>5.5768722136481782E-4</v>
      </c>
      <c r="BC6" s="700">
        <f t="shared" ref="BC6:BE6" si="5">BC23+BC25+BC27+BC28+BC30+BC29</f>
        <v>2588151.2199999997</v>
      </c>
      <c r="BD6" s="700">
        <f t="shared" si="5"/>
        <v>111334617</v>
      </c>
      <c r="BE6" s="700">
        <f t="shared" si="5"/>
        <v>35500340.871087998</v>
      </c>
      <c r="BG6" s="678"/>
    </row>
    <row r="7" spans="1:62" s="10" customFormat="1" x14ac:dyDescent="0.2">
      <c r="A7" s="217" t="s">
        <v>629</v>
      </c>
      <c r="B7" s="699">
        <f>B10+B13+B20+B22+B23+B25+B27+B28+B29+B30+B33+B35+B38+B39+B41+B43</f>
        <v>118105.32493069363</v>
      </c>
      <c r="C7" s="700">
        <f t="shared" ref="C7:AW7" si="6">C10+C13+C20+C22+C23+C25+C27+C28+C29+C30+C33+C35+C38+C39+C41+C43</f>
        <v>59085.735764140489</v>
      </c>
      <c r="D7" s="700">
        <f t="shared" si="6"/>
        <v>109</v>
      </c>
      <c r="E7" s="700">
        <f t="shared" si="6"/>
        <v>17742.748656604261</v>
      </c>
      <c r="F7" s="700">
        <f t="shared" si="6"/>
        <v>1750.1271704333335</v>
      </c>
      <c r="G7" s="700">
        <f t="shared" si="6"/>
        <v>274.49112399394198</v>
      </c>
      <c r="H7" s="700">
        <f t="shared" si="6"/>
        <v>142.822</v>
      </c>
      <c r="I7" s="700">
        <f t="shared" si="6"/>
        <v>227.24199999999999</v>
      </c>
      <c r="J7" s="701">
        <f t="shared" si="6"/>
        <v>197437.49164586567</v>
      </c>
      <c r="K7" s="702">
        <f t="shared" si="6"/>
        <v>1215</v>
      </c>
      <c r="L7" s="700">
        <f t="shared" si="6"/>
        <v>0</v>
      </c>
      <c r="M7" s="700">
        <f t="shared" si="6"/>
        <v>3615</v>
      </c>
      <c r="N7" s="700">
        <f t="shared" si="6"/>
        <v>0</v>
      </c>
      <c r="O7" s="700">
        <f t="shared" si="6"/>
        <v>706.2</v>
      </c>
      <c r="P7" s="700">
        <f t="shared" si="6"/>
        <v>0</v>
      </c>
      <c r="Q7" s="700">
        <f t="shared" si="6"/>
        <v>0</v>
      </c>
      <c r="R7" s="700">
        <f t="shared" si="6"/>
        <v>957.92</v>
      </c>
      <c r="S7" s="701">
        <f t="shared" si="6"/>
        <v>6494.12</v>
      </c>
      <c r="T7" s="703">
        <f t="shared" si="6"/>
        <v>203931.61164586566</v>
      </c>
      <c r="U7" s="703">
        <f t="shared" si="6"/>
        <v>-3873.2008099999998</v>
      </c>
      <c r="V7" s="704">
        <f t="shared" si="6"/>
        <v>126071.73358209782</v>
      </c>
      <c r="W7" s="699">
        <f t="shared" si="6"/>
        <v>55448.881550370992</v>
      </c>
      <c r="X7" s="700">
        <f t="shared" si="6"/>
        <v>0</v>
      </c>
      <c r="Y7" s="700">
        <f t="shared" si="6"/>
        <v>3217.5923249297639</v>
      </c>
      <c r="Z7" s="700">
        <f t="shared" si="6"/>
        <v>0</v>
      </c>
      <c r="AA7" s="700">
        <f t="shared" si="6"/>
        <v>0</v>
      </c>
      <c r="AB7" s="700">
        <f t="shared" si="6"/>
        <v>0</v>
      </c>
      <c r="AC7" s="700">
        <f t="shared" si="6"/>
        <v>337.71000000000004</v>
      </c>
      <c r="AD7" s="701">
        <f t="shared" si="6"/>
        <v>59004.183875300754</v>
      </c>
      <c r="AE7" s="702">
        <f t="shared" si="6"/>
        <v>48757.7</v>
      </c>
      <c r="AF7" s="700">
        <f t="shared" si="6"/>
        <v>0</v>
      </c>
      <c r="AG7" s="700">
        <f t="shared" si="6"/>
        <v>691</v>
      </c>
      <c r="AH7" s="700">
        <f t="shared" si="6"/>
        <v>0</v>
      </c>
      <c r="AI7" s="700">
        <f t="shared" si="6"/>
        <v>0</v>
      </c>
      <c r="AJ7" s="700">
        <f t="shared" si="6"/>
        <v>0</v>
      </c>
      <c r="AK7" s="700">
        <f t="shared" si="6"/>
        <v>16</v>
      </c>
      <c r="AL7" s="701">
        <f t="shared" si="6"/>
        <v>49464.7</v>
      </c>
      <c r="AM7" s="704">
        <f t="shared" si="6"/>
        <v>108468.88387530076</v>
      </c>
      <c r="AN7" s="699">
        <f t="shared" si="6"/>
        <v>47818.33705393671</v>
      </c>
      <c r="AO7" s="700">
        <f t="shared" si="6"/>
        <v>13939.338706859264</v>
      </c>
      <c r="AP7" s="700">
        <f t="shared" si="6"/>
        <v>18512.03454490221</v>
      </c>
      <c r="AQ7" s="701">
        <f t="shared" si="6"/>
        <v>80269.710305698187</v>
      </c>
      <c r="AR7" s="702">
        <f t="shared" si="6"/>
        <v>9221.2309999999998</v>
      </c>
      <c r="AS7" s="700">
        <f t="shared" si="6"/>
        <v>8531.2910000000011</v>
      </c>
      <c r="AT7" s="700">
        <f t="shared" si="6"/>
        <v>1313.6759999999999</v>
      </c>
      <c r="AU7" s="701">
        <f t="shared" si="6"/>
        <v>19066.198</v>
      </c>
      <c r="AV7" s="704">
        <f t="shared" si="6"/>
        <v>99335.908305698176</v>
      </c>
      <c r="AW7" s="699">
        <f t="shared" si="6"/>
        <v>439030.11084255786</v>
      </c>
      <c r="AX7" s="705">
        <f t="shared" si="1"/>
        <v>0.68282464645547003</v>
      </c>
      <c r="AY7" s="706">
        <f>(T7-T25-T33)/BC7</f>
        <v>2.8420789940868857E-2</v>
      </c>
      <c r="AZ7" s="707">
        <f t="shared" si="2"/>
        <v>1.5296419339753892E-3</v>
      </c>
      <c r="BA7" s="707">
        <f>(AV7-AV25-AV33)/BC7</f>
        <v>1.2983123583353113E-2</v>
      </c>
      <c r="BB7" s="708">
        <f t="shared" si="3"/>
        <v>7.4509473870972844E-4</v>
      </c>
      <c r="BC7" s="700">
        <f t="shared" ref="BC7:BE7" si="7">BC10+BC13+BC20+BC22+BC23+BC25+BC27+BC28+BC29+BC30+BC33+BC35+BC38+BC39+BC41+BC43</f>
        <v>6730596.512055208</v>
      </c>
      <c r="BD7" s="700">
        <f t="shared" si="7"/>
        <v>337078243</v>
      </c>
      <c r="BE7" s="700">
        <f t="shared" si="7"/>
        <v>133319835.91471465</v>
      </c>
      <c r="BG7" s="678"/>
    </row>
    <row r="8" spans="1:62" x14ac:dyDescent="0.2">
      <c r="A8" s="167" t="s">
        <v>418</v>
      </c>
      <c r="B8" s="106">
        <f t="shared" ref="B8:AV8" si="8">B9+B12+B15+B19+B21+B24+B26+B32+B34</f>
        <v>83626.323750872776</v>
      </c>
      <c r="C8" s="101">
        <f t="shared" si="8"/>
        <v>49011.481329999995</v>
      </c>
      <c r="D8" s="101">
        <f t="shared" si="8"/>
        <v>109</v>
      </c>
      <c r="E8" s="101">
        <f t="shared" si="8"/>
        <v>16228.131077900945</v>
      </c>
      <c r="F8" s="101">
        <f t="shared" si="8"/>
        <v>0</v>
      </c>
      <c r="G8" s="101">
        <f t="shared" si="8"/>
        <v>274.49112399394198</v>
      </c>
      <c r="H8" s="101">
        <f t="shared" si="8"/>
        <v>180.71169</v>
      </c>
      <c r="I8" s="101">
        <f t="shared" si="8"/>
        <v>227.24199999999999</v>
      </c>
      <c r="J8" s="125">
        <f t="shared" si="8"/>
        <v>149657.38097276766</v>
      </c>
      <c r="K8" s="134">
        <f t="shared" si="8"/>
        <v>1215</v>
      </c>
      <c r="L8" s="101">
        <f t="shared" si="8"/>
        <v>0</v>
      </c>
      <c r="M8" s="101">
        <f t="shared" si="8"/>
        <v>3615.04934</v>
      </c>
      <c r="N8" s="101">
        <f t="shared" si="8"/>
        <v>1432.4480000000001</v>
      </c>
      <c r="O8" s="101">
        <f t="shared" si="8"/>
        <v>706.2</v>
      </c>
      <c r="P8" s="101">
        <f t="shared" si="8"/>
        <v>0</v>
      </c>
      <c r="Q8" s="101">
        <f t="shared" si="8"/>
        <v>0</v>
      </c>
      <c r="R8" s="101">
        <f t="shared" si="8"/>
        <v>957.92</v>
      </c>
      <c r="S8" s="125">
        <f t="shared" si="8"/>
        <v>7926.6173399999998</v>
      </c>
      <c r="T8" s="143">
        <f t="shared" si="8"/>
        <v>157583.99831276765</v>
      </c>
      <c r="U8" s="143">
        <f t="shared" si="8"/>
        <v>-3817.7457499999996</v>
      </c>
      <c r="V8" s="107">
        <f t="shared" si="8"/>
        <v>111064.57834209781</v>
      </c>
      <c r="W8" s="741">
        <f t="shared" si="8"/>
        <v>37480.539449999997</v>
      </c>
      <c r="X8" s="736">
        <f t="shared" si="8"/>
        <v>385.80700000000002</v>
      </c>
      <c r="Y8" s="736">
        <f t="shared" si="8"/>
        <v>0</v>
      </c>
      <c r="Z8" s="736">
        <f t="shared" si="8"/>
        <v>0</v>
      </c>
      <c r="AA8" s="736">
        <f t="shared" si="8"/>
        <v>0</v>
      </c>
      <c r="AB8" s="736">
        <f t="shared" si="8"/>
        <v>0</v>
      </c>
      <c r="AC8" s="736">
        <f t="shared" si="8"/>
        <v>0</v>
      </c>
      <c r="AD8" s="758">
        <f t="shared" si="8"/>
        <v>37866.346449999997</v>
      </c>
      <c r="AE8" s="767">
        <f t="shared" si="8"/>
        <v>48757.7</v>
      </c>
      <c r="AF8" s="736">
        <f t="shared" si="8"/>
        <v>0</v>
      </c>
      <c r="AG8" s="736">
        <f t="shared" si="8"/>
        <v>691</v>
      </c>
      <c r="AH8" s="736">
        <f t="shared" si="8"/>
        <v>0</v>
      </c>
      <c r="AI8" s="736">
        <f t="shared" si="8"/>
        <v>0</v>
      </c>
      <c r="AJ8" s="736">
        <f t="shared" si="8"/>
        <v>0</v>
      </c>
      <c r="AK8" s="736">
        <f t="shared" si="8"/>
        <v>16</v>
      </c>
      <c r="AL8" s="758">
        <f t="shared" si="8"/>
        <v>49464.7</v>
      </c>
      <c r="AM8" s="742">
        <f t="shared" si="8"/>
        <v>87331.046449999994</v>
      </c>
      <c r="AN8" s="106">
        <f t="shared" si="8"/>
        <v>41288.770126569289</v>
      </c>
      <c r="AO8" s="101">
        <f t="shared" si="8"/>
        <v>13367.500331331657</v>
      </c>
      <c r="AP8" s="101">
        <f t="shared" si="8"/>
        <v>348.22933999999987</v>
      </c>
      <c r="AQ8" s="125">
        <f t="shared" si="8"/>
        <v>55004.499797900942</v>
      </c>
      <c r="AR8" s="134">
        <f t="shared" si="8"/>
        <v>9221.2309999999998</v>
      </c>
      <c r="AS8" s="101">
        <f t="shared" si="8"/>
        <v>8531.2910000000011</v>
      </c>
      <c r="AT8" s="101">
        <f t="shared" si="8"/>
        <v>1313.6759999999999</v>
      </c>
      <c r="AU8" s="125">
        <f t="shared" si="8"/>
        <v>19066.198</v>
      </c>
      <c r="AV8" s="107">
        <f t="shared" si="8"/>
        <v>74070.697797900939</v>
      </c>
      <c r="AW8" s="106">
        <f>AW9+AW12+AW15+AW19+AW21+AW24+AW26+AW32+AW34</f>
        <v>349585.63776905957</v>
      </c>
      <c r="AX8" s="100">
        <f t="shared" si="1"/>
        <v>0.68928739596835231</v>
      </c>
      <c r="AY8" s="682">
        <f>(T8-T24-T32)/BC8</f>
        <v>2.9231542396285108E-2</v>
      </c>
      <c r="AZ8" s="683">
        <f t="shared" si="2"/>
        <v>1.4430628370031816E-3</v>
      </c>
      <c r="BA8" s="683">
        <f>(AV8-AV24-AV32)/BC8</f>
        <v>1.2528060927669412E-2</v>
      </c>
      <c r="BB8" s="684">
        <f t="shared" si="3"/>
        <v>6.7829647963935427E-4</v>
      </c>
      <c r="BC8" s="80">
        <f>BC9+BC12+BC15+BC19+BC21+BC24+BC26+BC32+BC34</f>
        <v>4958385.512055208</v>
      </c>
      <c r="BD8" s="80">
        <f>BD9+BD12+BD15+BD19+BD21+BD24+BD26+BD32+BD34</f>
        <v>337078243</v>
      </c>
      <c r="BE8" s="80">
        <f>BE9+BE12+BE15+BE19+BE21+BE24+BE26+BE32+BE34</f>
        <v>109201064.7575288</v>
      </c>
      <c r="BG8" s="677">
        <f>BB8*1000</f>
        <v>0.67829647963935424</v>
      </c>
    </row>
    <row r="9" spans="1:62" x14ac:dyDescent="0.2">
      <c r="A9" s="168" t="s">
        <v>419</v>
      </c>
      <c r="B9" s="108">
        <f>SUM(B10:B11)</f>
        <v>568.85599999999999</v>
      </c>
      <c r="C9" s="96">
        <f t="shared" ref="C9:AW9" si="9">SUM(C10:C11)</f>
        <v>0</v>
      </c>
      <c r="D9" s="96">
        <f t="shared" si="9"/>
        <v>0</v>
      </c>
      <c r="E9" s="96">
        <f t="shared" si="9"/>
        <v>248</v>
      </c>
      <c r="F9" s="96">
        <f t="shared" si="9"/>
        <v>0</v>
      </c>
      <c r="G9" s="96">
        <f t="shared" si="9"/>
        <v>0</v>
      </c>
      <c r="H9" s="96">
        <f t="shared" si="9"/>
        <v>0</v>
      </c>
      <c r="I9" s="96">
        <f t="shared" si="9"/>
        <v>0</v>
      </c>
      <c r="J9" s="126">
        <f t="shared" si="9"/>
        <v>816.85599999999999</v>
      </c>
      <c r="K9" s="135">
        <f t="shared" si="9"/>
        <v>1215</v>
      </c>
      <c r="L9" s="96">
        <f t="shared" si="9"/>
        <v>0</v>
      </c>
      <c r="M9" s="96">
        <f t="shared" si="9"/>
        <v>0</v>
      </c>
      <c r="N9" s="96">
        <f t="shared" si="9"/>
        <v>0</v>
      </c>
      <c r="O9" s="96">
        <f t="shared" si="9"/>
        <v>0</v>
      </c>
      <c r="P9" s="96">
        <f t="shared" si="9"/>
        <v>0</v>
      </c>
      <c r="Q9" s="96">
        <f t="shared" si="9"/>
        <v>0</v>
      </c>
      <c r="R9" s="96">
        <f t="shared" si="9"/>
        <v>0</v>
      </c>
      <c r="S9" s="126">
        <f t="shared" si="9"/>
        <v>1215</v>
      </c>
      <c r="T9" s="144">
        <f t="shared" si="9"/>
        <v>2031.856</v>
      </c>
      <c r="U9" s="144">
        <f>SUM(U10:U11)</f>
        <v>0</v>
      </c>
      <c r="V9" s="109">
        <f>SUM(V10:V11)</f>
        <v>278.46300000000002</v>
      </c>
      <c r="W9" s="743">
        <f t="shared" si="9"/>
        <v>0</v>
      </c>
      <c r="X9" s="733">
        <f t="shared" si="9"/>
        <v>0</v>
      </c>
      <c r="Y9" s="733">
        <f t="shared" si="9"/>
        <v>0</v>
      </c>
      <c r="Z9" s="733">
        <f t="shared" si="9"/>
        <v>0</v>
      </c>
      <c r="AA9" s="733">
        <f t="shared" si="9"/>
        <v>0</v>
      </c>
      <c r="AB9" s="733">
        <f t="shared" si="9"/>
        <v>0</v>
      </c>
      <c r="AC9" s="733">
        <f t="shared" si="9"/>
        <v>0</v>
      </c>
      <c r="AD9" s="759">
        <f t="shared" si="9"/>
        <v>0</v>
      </c>
      <c r="AE9" s="768">
        <f t="shared" si="9"/>
        <v>0</v>
      </c>
      <c r="AF9" s="733">
        <f t="shared" si="9"/>
        <v>0</v>
      </c>
      <c r="AG9" s="733">
        <f t="shared" si="9"/>
        <v>0</v>
      </c>
      <c r="AH9" s="733">
        <f t="shared" si="9"/>
        <v>0</v>
      </c>
      <c r="AI9" s="733">
        <f t="shared" si="9"/>
        <v>0</v>
      </c>
      <c r="AJ9" s="733">
        <f t="shared" si="9"/>
        <v>0</v>
      </c>
      <c r="AK9" s="733">
        <f t="shared" si="9"/>
        <v>0</v>
      </c>
      <c r="AL9" s="759">
        <f t="shared" si="9"/>
        <v>0</v>
      </c>
      <c r="AM9" s="744">
        <f t="shared" si="9"/>
        <v>0</v>
      </c>
      <c r="AN9" s="108">
        <f t="shared" si="9"/>
        <v>721.85599999999999</v>
      </c>
      <c r="AO9" s="96">
        <f t="shared" si="9"/>
        <v>0</v>
      </c>
      <c r="AP9" s="96">
        <f t="shared" si="9"/>
        <v>77</v>
      </c>
      <c r="AQ9" s="126">
        <f t="shared" si="9"/>
        <v>798.85599999999999</v>
      </c>
      <c r="AR9" s="135">
        <f t="shared" si="9"/>
        <v>0</v>
      </c>
      <c r="AS9" s="96">
        <f t="shared" si="9"/>
        <v>980</v>
      </c>
      <c r="AT9" s="96">
        <f t="shared" si="9"/>
        <v>253</v>
      </c>
      <c r="AU9" s="126">
        <f t="shared" si="9"/>
        <v>1233</v>
      </c>
      <c r="AV9" s="109">
        <f t="shared" si="9"/>
        <v>2031.856</v>
      </c>
      <c r="AW9" s="108">
        <f t="shared" si="9"/>
        <v>71147</v>
      </c>
      <c r="AX9" s="97">
        <f t="shared" si="1"/>
        <v>0.97223438420518626</v>
      </c>
      <c r="AY9" s="685">
        <f>T9/BC9</f>
        <v>3.6496320471899255E-3</v>
      </c>
      <c r="AZ9" s="686">
        <f t="shared" si="2"/>
        <v>7.4995621561957227E-5</v>
      </c>
      <c r="BA9" s="686">
        <f>AV9/BC9</f>
        <v>3.6496320471899255E-3</v>
      </c>
      <c r="BB9" s="687">
        <f t="shared" si="3"/>
        <v>7.4995621561957227E-5</v>
      </c>
      <c r="BC9" s="90">
        <f t="shared" ref="BC9" si="10">SUM(BC10:BC11)</f>
        <v>556729</v>
      </c>
      <c r="BD9" s="90">
        <f t="shared" ref="BD9" si="11">SUM(BD10:BD11)</f>
        <v>0</v>
      </c>
      <c r="BE9" s="90">
        <f t="shared" ref="BE9" si="12">SUM(BE10:BE11)</f>
        <v>27092995.000000007</v>
      </c>
    </row>
    <row r="10" spans="1:62" ht="13.5" customHeight="1" x14ac:dyDescent="0.2">
      <c r="A10" s="56" t="s">
        <v>420</v>
      </c>
      <c r="B10" s="110">
        <v>546</v>
      </c>
      <c r="C10" s="11"/>
      <c r="D10" s="11"/>
      <c r="E10" s="11">
        <v>248</v>
      </c>
      <c r="F10" s="11"/>
      <c r="G10" s="11"/>
      <c r="H10" s="11"/>
      <c r="I10" s="11"/>
      <c r="J10" s="127">
        <f>SUM(B10:I10)</f>
        <v>794</v>
      </c>
      <c r="K10" s="136">
        <v>1215</v>
      </c>
      <c r="L10" s="89"/>
      <c r="M10" s="89"/>
      <c r="N10" s="89"/>
      <c r="O10" s="89"/>
      <c r="P10" s="89"/>
      <c r="Q10" s="89"/>
      <c r="R10" s="89"/>
      <c r="S10" s="130">
        <f>SUM(K10:R10)</f>
        <v>1215</v>
      </c>
      <c r="T10" s="145">
        <f>S10+J10</f>
        <v>2009</v>
      </c>
      <c r="U10" s="145"/>
      <c r="V10" s="111">
        <v>0</v>
      </c>
      <c r="W10" s="748"/>
      <c r="X10" s="730"/>
      <c r="Y10" s="730"/>
      <c r="Z10" s="730"/>
      <c r="AA10" s="730"/>
      <c r="AB10" s="730"/>
      <c r="AC10" s="730"/>
      <c r="AD10" s="763">
        <f>SUM(W10:AC10)</f>
        <v>0</v>
      </c>
      <c r="AE10" s="769"/>
      <c r="AF10" s="730"/>
      <c r="AG10" s="730"/>
      <c r="AH10" s="730"/>
      <c r="AI10" s="730"/>
      <c r="AJ10" s="730"/>
      <c r="AK10" s="730"/>
      <c r="AL10" s="763">
        <f>SUM(AE10:AK10)</f>
        <v>0</v>
      </c>
      <c r="AM10" s="746">
        <f>AL10+AD10</f>
        <v>0</v>
      </c>
      <c r="AN10" s="113">
        <v>699</v>
      </c>
      <c r="AO10" s="89"/>
      <c r="AP10" s="89">
        <v>77</v>
      </c>
      <c r="AQ10" s="130">
        <f>SUM(AN10:AP10)</f>
        <v>776</v>
      </c>
      <c r="AR10" s="136"/>
      <c r="AS10" s="89">
        <v>980</v>
      </c>
      <c r="AT10" s="89">
        <v>253</v>
      </c>
      <c r="AU10" s="130">
        <f>SUM(AR10:AT10)</f>
        <v>1233</v>
      </c>
      <c r="AV10" s="111">
        <f>AU10+AQ10</f>
        <v>2009</v>
      </c>
      <c r="AW10" s="113">
        <v>71147</v>
      </c>
      <c r="AX10" s="86">
        <f t="shared" si="1"/>
        <v>0.97253813767838593</v>
      </c>
      <c r="AY10" s="688">
        <f>T10/BC10</f>
        <v>3.6085779616294462E-3</v>
      </c>
      <c r="AZ10" s="689">
        <f t="shared" si="2"/>
        <v>7.4152008664970384E-5</v>
      </c>
      <c r="BA10" s="689">
        <f>AV10/BC10</f>
        <v>3.6085779616294462E-3</v>
      </c>
      <c r="BB10" s="690">
        <f t="shared" si="3"/>
        <v>7.4152008664970384E-5</v>
      </c>
      <c r="BC10" s="90">
        <v>556729</v>
      </c>
      <c r="BD10" s="90"/>
      <c r="BE10" s="90">
        <v>27092995.000000007</v>
      </c>
    </row>
    <row r="11" spans="1:62" ht="13.5" customHeight="1" x14ac:dyDescent="0.2">
      <c r="A11" s="56" t="s">
        <v>421</v>
      </c>
      <c r="B11" s="110">
        <f>AN11</f>
        <v>22.856000000000002</v>
      </c>
      <c r="C11" s="11"/>
      <c r="D11" s="11"/>
      <c r="E11" s="11"/>
      <c r="F11" s="11"/>
      <c r="G11" s="11"/>
      <c r="H11" s="11"/>
      <c r="I11" s="11"/>
      <c r="J11" s="127">
        <f>SUM(B11:I11)</f>
        <v>22.856000000000002</v>
      </c>
      <c r="K11" s="136"/>
      <c r="L11" s="89"/>
      <c r="M11" s="89"/>
      <c r="N11" s="89"/>
      <c r="O11" s="89"/>
      <c r="P11" s="89"/>
      <c r="Q11" s="89"/>
      <c r="R11" s="89"/>
      <c r="S11" s="130">
        <f>SUM(K11:R11)</f>
        <v>0</v>
      </c>
      <c r="T11" s="145">
        <f>S11+J11</f>
        <v>22.856000000000002</v>
      </c>
      <c r="U11" s="145"/>
      <c r="V11" s="111">
        <v>278.46300000000002</v>
      </c>
      <c r="W11" s="748"/>
      <c r="X11" s="730"/>
      <c r="Y11" s="730"/>
      <c r="Z11" s="730"/>
      <c r="AA11" s="730"/>
      <c r="AB11" s="730"/>
      <c r="AC11" s="730"/>
      <c r="AD11" s="763">
        <f t="shared" ref="AD11:AD15" si="13">SUM(W11:AC11)</f>
        <v>0</v>
      </c>
      <c r="AE11" s="769"/>
      <c r="AF11" s="730"/>
      <c r="AG11" s="730"/>
      <c r="AH11" s="730"/>
      <c r="AI11" s="730"/>
      <c r="AJ11" s="730"/>
      <c r="AK11" s="730"/>
      <c r="AL11" s="763">
        <f t="shared" ref="AL11:AL15" si="14">SUM(AE11:AK11)</f>
        <v>0</v>
      </c>
      <c r="AM11" s="746">
        <f t="shared" ref="AM11:AM15" si="15">AL11+AD11</f>
        <v>0</v>
      </c>
      <c r="AN11" s="113">
        <v>22.856000000000002</v>
      </c>
      <c r="AO11" s="89"/>
      <c r="AP11" s="89"/>
      <c r="AQ11" s="130">
        <f t="shared" ref="AQ11:AQ25" si="16">SUM(AN11:AP11)</f>
        <v>22.856000000000002</v>
      </c>
      <c r="AR11" s="136"/>
      <c r="AS11" s="89"/>
      <c r="AT11" s="89"/>
      <c r="AU11" s="130">
        <f t="shared" ref="AU11:AU15" si="17">SUM(AR11:AT11)</f>
        <v>0</v>
      </c>
      <c r="AV11" s="111">
        <f t="shared" ref="AV11:AV15" si="18">AU11+AQ11</f>
        <v>22.856000000000002</v>
      </c>
      <c r="AW11" s="113"/>
      <c r="AX11" s="86"/>
      <c r="AY11" s="688"/>
      <c r="AZ11" s="689"/>
      <c r="BA11" s="689"/>
      <c r="BB11" s="690"/>
      <c r="BC11" s="90"/>
      <c r="BD11" s="90"/>
      <c r="BE11" s="90"/>
    </row>
    <row r="12" spans="1:62" ht="13.5" customHeight="1" x14ac:dyDescent="0.2">
      <c r="A12" s="169" t="s">
        <v>428</v>
      </c>
      <c r="B12" s="108">
        <f t="shared" ref="B12:I12" si="19">SUM(B13:B14)</f>
        <v>11454.912</v>
      </c>
      <c r="C12" s="96">
        <f t="shared" si="19"/>
        <v>663</v>
      </c>
      <c r="D12" s="96">
        <f t="shared" si="19"/>
        <v>0</v>
      </c>
      <c r="E12" s="96">
        <f t="shared" si="19"/>
        <v>0</v>
      </c>
      <c r="F12" s="96">
        <f t="shared" si="19"/>
        <v>0</v>
      </c>
      <c r="G12" s="96">
        <f t="shared" si="19"/>
        <v>0</v>
      </c>
      <c r="H12" s="96">
        <f t="shared" si="19"/>
        <v>60.002000000000002</v>
      </c>
      <c r="I12" s="96">
        <f t="shared" si="19"/>
        <v>0</v>
      </c>
      <c r="J12" s="126">
        <f>SUM(B12:I12)</f>
        <v>12177.914000000001</v>
      </c>
      <c r="K12" s="135">
        <f t="shared" ref="K12:R12" si="20">SUM(K13:K14)</f>
        <v>0</v>
      </c>
      <c r="L12" s="96">
        <f t="shared" si="20"/>
        <v>0</v>
      </c>
      <c r="M12" s="96">
        <f t="shared" si="20"/>
        <v>1270</v>
      </c>
      <c r="N12" s="96">
        <f t="shared" si="20"/>
        <v>0</v>
      </c>
      <c r="O12" s="96">
        <f t="shared" si="20"/>
        <v>84</v>
      </c>
      <c r="P12" s="96">
        <f t="shared" si="20"/>
        <v>0</v>
      </c>
      <c r="Q12" s="96">
        <f t="shared" si="20"/>
        <v>0</v>
      </c>
      <c r="R12" s="96">
        <f t="shared" si="20"/>
        <v>0</v>
      </c>
      <c r="S12" s="129">
        <f>SUM(K12:R12)</f>
        <v>1354</v>
      </c>
      <c r="T12" s="146">
        <f t="shared" ref="T12:AC12" si="21">SUM(T13:T14)</f>
        <v>13531.914000000001</v>
      </c>
      <c r="U12" s="146">
        <f t="shared" si="21"/>
        <v>0</v>
      </c>
      <c r="V12" s="112">
        <f t="shared" si="21"/>
        <v>2207.0050000000001</v>
      </c>
      <c r="W12" s="752">
        <f t="shared" si="21"/>
        <v>10663.462</v>
      </c>
      <c r="X12" s="734">
        <f t="shared" si="21"/>
        <v>0</v>
      </c>
      <c r="Y12" s="734">
        <f t="shared" si="21"/>
        <v>0</v>
      </c>
      <c r="Z12" s="734">
        <f t="shared" si="21"/>
        <v>0</v>
      </c>
      <c r="AA12" s="734">
        <f t="shared" si="21"/>
        <v>0</v>
      </c>
      <c r="AB12" s="734">
        <f t="shared" si="21"/>
        <v>0</v>
      </c>
      <c r="AC12" s="734">
        <f t="shared" si="21"/>
        <v>0</v>
      </c>
      <c r="AD12" s="762">
        <f t="shared" si="13"/>
        <v>10663.462</v>
      </c>
      <c r="AE12" s="772">
        <f t="shared" ref="AE12:AK12" si="22">SUM(AE13:AE14)</f>
        <v>0</v>
      </c>
      <c r="AF12" s="734">
        <f t="shared" si="22"/>
        <v>0</v>
      </c>
      <c r="AG12" s="734">
        <f t="shared" si="22"/>
        <v>0</v>
      </c>
      <c r="AH12" s="734">
        <f t="shared" si="22"/>
        <v>0</v>
      </c>
      <c r="AI12" s="734">
        <f t="shared" si="22"/>
        <v>0</v>
      </c>
      <c r="AJ12" s="734">
        <f t="shared" si="22"/>
        <v>0</v>
      </c>
      <c r="AK12" s="734">
        <f t="shared" si="22"/>
        <v>0</v>
      </c>
      <c r="AL12" s="762">
        <f t="shared" si="14"/>
        <v>0</v>
      </c>
      <c r="AM12" s="747">
        <f t="shared" si="15"/>
        <v>10663.462</v>
      </c>
      <c r="AN12" s="117">
        <f>SUM(AN13:AN14)</f>
        <v>0.84499999999999997</v>
      </c>
      <c r="AO12" s="98">
        <f>SUM(AO13:AO14)</f>
        <v>19.507000000000001</v>
      </c>
      <c r="AP12" s="98">
        <f>SUM(AP13:AP14)</f>
        <v>0.1</v>
      </c>
      <c r="AQ12" s="129">
        <f t="shared" si="16"/>
        <v>20.452000000000002</v>
      </c>
      <c r="AR12" s="139">
        <f>SUM(AR13:AR14)</f>
        <v>1040</v>
      </c>
      <c r="AS12" s="98">
        <f>SUM(AS13:AS14)</f>
        <v>898</v>
      </c>
      <c r="AT12" s="98">
        <f>SUM(AT13:AT14)</f>
        <v>910</v>
      </c>
      <c r="AU12" s="129">
        <f t="shared" si="17"/>
        <v>2848</v>
      </c>
      <c r="AV12" s="112">
        <f t="shared" si="18"/>
        <v>2868.4520000000002</v>
      </c>
      <c r="AW12" s="117">
        <f>SUM(AW13:AW14)</f>
        <v>9029.1490000000013</v>
      </c>
      <c r="AX12" s="97">
        <f>(AW12)/(AW12+T12)</f>
        <v>0.4002093784322131</v>
      </c>
      <c r="AY12" s="685">
        <f>T12/BC12</f>
        <v>7.9257289116403298E-2</v>
      </c>
      <c r="AZ12" s="686">
        <f>T12/BE12</f>
        <v>4.4197892323294711E-3</v>
      </c>
      <c r="BA12" s="686">
        <f>AV12/BC12</f>
        <v>1.6800707533355982E-2</v>
      </c>
      <c r="BB12" s="687">
        <f>AV12/BE12</f>
        <v>9.368928344544561E-4</v>
      </c>
      <c r="BC12" s="84">
        <f>SUM(BC13:BC14)</f>
        <v>170734</v>
      </c>
      <c r="BD12" s="84">
        <f>SUM(BD13:BD14)</f>
        <v>0</v>
      </c>
      <c r="BE12" s="84">
        <f>SUM(BE13:BE14)</f>
        <v>3061664.9999999977</v>
      </c>
    </row>
    <row r="13" spans="1:62" ht="13.5" customHeight="1" x14ac:dyDescent="0.2">
      <c r="A13" s="56" t="s">
        <v>429</v>
      </c>
      <c r="B13" s="113">
        <v>771</v>
      </c>
      <c r="C13" s="11">
        <v>663</v>
      </c>
      <c r="D13" s="11"/>
      <c r="E13" s="11"/>
      <c r="F13" s="11"/>
      <c r="G13" s="11"/>
      <c r="H13" s="11">
        <v>60</v>
      </c>
      <c r="I13" s="11"/>
      <c r="J13" s="127">
        <f>SUM(B13:I13)</f>
        <v>1494</v>
      </c>
      <c r="K13" s="136"/>
      <c r="L13" s="89"/>
      <c r="M13" s="89">
        <v>1270</v>
      </c>
      <c r="N13" s="89"/>
      <c r="O13" s="89">
        <v>84</v>
      </c>
      <c r="P13" s="89"/>
      <c r="Q13" s="89"/>
      <c r="R13" s="89"/>
      <c r="S13" s="130">
        <f>SUM(K13:R13)</f>
        <v>1354</v>
      </c>
      <c r="T13" s="145">
        <f>S13+J13</f>
        <v>2848</v>
      </c>
      <c r="U13" s="145">
        <v>0</v>
      </c>
      <c r="V13" s="111">
        <v>2207.0050000000001</v>
      </c>
      <c r="W13" s="748"/>
      <c r="X13" s="730"/>
      <c r="Y13" s="730"/>
      <c r="Z13" s="730"/>
      <c r="AA13" s="730"/>
      <c r="AB13" s="730"/>
      <c r="AC13" s="730"/>
      <c r="AD13" s="763">
        <f>SUM(W13:AC13)</f>
        <v>0</v>
      </c>
      <c r="AE13" s="769"/>
      <c r="AF13" s="730"/>
      <c r="AG13" s="730"/>
      <c r="AH13" s="730"/>
      <c r="AI13" s="730"/>
      <c r="AJ13" s="730"/>
      <c r="AK13" s="730"/>
      <c r="AL13" s="763">
        <f>SUM(AE13:AK13)</f>
        <v>0</v>
      </c>
      <c r="AM13" s="746">
        <f>AL13+AD13</f>
        <v>0</v>
      </c>
      <c r="AN13" s="113"/>
      <c r="AO13" s="89"/>
      <c r="AP13" s="89"/>
      <c r="AQ13" s="130">
        <f>SUM(AN13:AP13)</f>
        <v>0</v>
      </c>
      <c r="AR13" s="136">
        <v>1040</v>
      </c>
      <c r="AS13" s="89">
        <v>898</v>
      </c>
      <c r="AT13" s="89">
        <v>910</v>
      </c>
      <c r="AU13" s="130">
        <f>SUM(AR13:AT13)</f>
        <v>2848</v>
      </c>
      <c r="AV13" s="111">
        <f>AU13+AQ13</f>
        <v>2848</v>
      </c>
      <c r="AW13" s="113">
        <v>9029.1490000000013</v>
      </c>
      <c r="AX13" s="86">
        <f>(AW13)/(AW13+T13)</f>
        <v>0.76021181514183245</v>
      </c>
      <c r="AY13" s="688">
        <f>T13/BC13</f>
        <v>1.6680918856232501E-2</v>
      </c>
      <c r="AZ13" s="689">
        <f>T13/BE13</f>
        <v>9.3021280904344598E-4</v>
      </c>
      <c r="BA13" s="689">
        <f>AV13/BC13</f>
        <v>1.6680918856232501E-2</v>
      </c>
      <c r="BB13" s="690">
        <f>AV13/BE13</f>
        <v>9.3021280904344598E-4</v>
      </c>
      <c r="BC13" s="90">
        <v>170734</v>
      </c>
      <c r="BD13" s="90"/>
      <c r="BE13" s="90">
        <v>3061664.9999999977</v>
      </c>
    </row>
    <row r="14" spans="1:62" ht="13.5" customHeight="1" x14ac:dyDescent="0.2">
      <c r="A14" s="56" t="s">
        <v>571</v>
      </c>
      <c r="B14" s="110">
        <v>10683.912</v>
      </c>
      <c r="C14" s="11">
        <v>0</v>
      </c>
      <c r="D14" s="11">
        <v>0</v>
      </c>
      <c r="E14" s="11">
        <v>0</v>
      </c>
      <c r="F14" s="11">
        <v>0</v>
      </c>
      <c r="G14" s="11">
        <v>0</v>
      </c>
      <c r="H14" s="11">
        <v>2E-3</v>
      </c>
      <c r="I14" s="11">
        <v>0</v>
      </c>
      <c r="J14" s="127">
        <v>10683.914000000001</v>
      </c>
      <c r="K14" s="137">
        <v>0</v>
      </c>
      <c r="L14" s="11">
        <v>0</v>
      </c>
      <c r="M14" s="11">
        <v>0</v>
      </c>
      <c r="N14" s="11">
        <v>0</v>
      </c>
      <c r="O14" s="11">
        <v>0</v>
      </c>
      <c r="P14" s="11">
        <v>0</v>
      </c>
      <c r="Q14" s="11">
        <v>0</v>
      </c>
      <c r="R14" s="11">
        <v>0</v>
      </c>
      <c r="S14" s="127">
        <v>0</v>
      </c>
      <c r="T14" s="147">
        <v>10683.914000000001</v>
      </c>
      <c r="U14" s="147">
        <v>0</v>
      </c>
      <c r="V14" s="114">
        <v>0</v>
      </c>
      <c r="W14" s="745">
        <v>10663.462</v>
      </c>
      <c r="X14" s="722">
        <v>0</v>
      </c>
      <c r="Y14" s="722">
        <v>0</v>
      </c>
      <c r="Z14" s="722">
        <v>0</v>
      </c>
      <c r="AA14" s="722">
        <v>0</v>
      </c>
      <c r="AB14" s="722">
        <v>0</v>
      </c>
      <c r="AC14" s="722">
        <v>0</v>
      </c>
      <c r="AD14" s="760">
        <v>10663.462</v>
      </c>
      <c r="AE14" s="770">
        <v>0</v>
      </c>
      <c r="AF14" s="722">
        <v>0</v>
      </c>
      <c r="AG14" s="722">
        <v>0</v>
      </c>
      <c r="AH14" s="722">
        <v>0</v>
      </c>
      <c r="AI14" s="722">
        <v>0</v>
      </c>
      <c r="AJ14" s="722">
        <v>0</v>
      </c>
      <c r="AK14" s="722">
        <v>0</v>
      </c>
      <c r="AL14" s="760">
        <v>0</v>
      </c>
      <c r="AM14" s="749">
        <v>10663.462</v>
      </c>
      <c r="AN14" s="110">
        <v>0.84499999999999997</v>
      </c>
      <c r="AO14" s="11">
        <v>19.507000000000001</v>
      </c>
      <c r="AP14" s="11">
        <v>0.1</v>
      </c>
      <c r="AQ14" s="127">
        <v>20.452000000000002</v>
      </c>
      <c r="AR14" s="137">
        <v>0</v>
      </c>
      <c r="AS14" s="11">
        <v>0</v>
      </c>
      <c r="AT14" s="11">
        <v>0</v>
      </c>
      <c r="AU14" s="127">
        <v>0</v>
      </c>
      <c r="AV14" s="114">
        <v>20.452000000000002</v>
      </c>
      <c r="AW14" s="110">
        <v>0</v>
      </c>
      <c r="AX14" s="86"/>
      <c r="AY14" s="688"/>
      <c r="AZ14" s="689"/>
      <c r="BA14" s="689"/>
      <c r="BB14" s="690"/>
      <c r="BC14" s="90"/>
      <c r="BD14" s="90"/>
      <c r="BE14" s="90"/>
    </row>
    <row r="15" spans="1:62" ht="13.5" customHeight="1" x14ac:dyDescent="0.2">
      <c r="A15" s="168" t="s">
        <v>572</v>
      </c>
      <c r="B15" s="108">
        <f t="shared" ref="B15:I15" si="23">SUM(B16:B18)</f>
        <v>697.63666999999998</v>
      </c>
      <c r="C15" s="96">
        <f t="shared" si="23"/>
        <v>0</v>
      </c>
      <c r="D15" s="96">
        <f t="shared" si="23"/>
        <v>0</v>
      </c>
      <c r="E15" s="96">
        <f t="shared" si="23"/>
        <v>153.98599999999999</v>
      </c>
      <c r="F15" s="96">
        <f t="shared" si="23"/>
        <v>0</v>
      </c>
      <c r="G15" s="96">
        <f t="shared" si="23"/>
        <v>0</v>
      </c>
      <c r="H15" s="96">
        <f t="shared" si="23"/>
        <v>32.356450000000002</v>
      </c>
      <c r="I15" s="96">
        <f t="shared" si="23"/>
        <v>0</v>
      </c>
      <c r="J15" s="126">
        <f t="shared" ref="J15:J30" si="24">SUM(B15:I15)</f>
        <v>883.97911999999997</v>
      </c>
      <c r="K15" s="135">
        <f t="shared" ref="K15:R15" si="25">SUM(K16:K18)</f>
        <v>0</v>
      </c>
      <c r="L15" s="96">
        <f t="shared" si="25"/>
        <v>0</v>
      </c>
      <c r="M15" s="96">
        <f t="shared" si="25"/>
        <v>0</v>
      </c>
      <c r="N15" s="96">
        <f t="shared" si="25"/>
        <v>0</v>
      </c>
      <c r="O15" s="96">
        <f t="shared" si="25"/>
        <v>0</v>
      </c>
      <c r="P15" s="96">
        <f t="shared" si="25"/>
        <v>0</v>
      </c>
      <c r="Q15" s="96">
        <f t="shared" si="25"/>
        <v>0</v>
      </c>
      <c r="R15" s="96">
        <f t="shared" si="25"/>
        <v>0</v>
      </c>
      <c r="S15" s="129">
        <f t="shared" ref="S15:S30" si="26">SUM(K15:R15)</f>
        <v>0</v>
      </c>
      <c r="T15" s="146">
        <f t="shared" ref="T15:AC15" si="27">SUM(T16:T18)</f>
        <v>883.97911999999997</v>
      </c>
      <c r="U15" s="146">
        <f t="shared" si="27"/>
        <v>-56.186999999999998</v>
      </c>
      <c r="V15" s="112">
        <f t="shared" si="27"/>
        <v>0</v>
      </c>
      <c r="W15" s="752">
        <f t="shared" si="27"/>
        <v>0</v>
      </c>
      <c r="X15" s="734">
        <f t="shared" si="27"/>
        <v>385.80700000000002</v>
      </c>
      <c r="Y15" s="734">
        <f t="shared" si="27"/>
        <v>0</v>
      </c>
      <c r="Z15" s="734">
        <f t="shared" si="27"/>
        <v>0</v>
      </c>
      <c r="AA15" s="734">
        <f t="shared" si="27"/>
        <v>0</v>
      </c>
      <c r="AB15" s="734">
        <f t="shared" si="27"/>
        <v>0</v>
      </c>
      <c r="AC15" s="734">
        <f t="shared" si="27"/>
        <v>0</v>
      </c>
      <c r="AD15" s="762">
        <f t="shared" si="13"/>
        <v>385.80700000000002</v>
      </c>
      <c r="AE15" s="772">
        <f t="shared" ref="AE15:AK15" si="28">SUM(AE16:AE18)</f>
        <v>0</v>
      </c>
      <c r="AF15" s="734">
        <f t="shared" si="28"/>
        <v>0</v>
      </c>
      <c r="AG15" s="734">
        <f t="shared" si="28"/>
        <v>0</v>
      </c>
      <c r="AH15" s="734">
        <f t="shared" si="28"/>
        <v>0</v>
      </c>
      <c r="AI15" s="734">
        <f t="shared" si="28"/>
        <v>0</v>
      </c>
      <c r="AJ15" s="734">
        <f t="shared" si="28"/>
        <v>0</v>
      </c>
      <c r="AK15" s="734">
        <f t="shared" si="28"/>
        <v>0</v>
      </c>
      <c r="AL15" s="762">
        <f t="shared" si="14"/>
        <v>0</v>
      </c>
      <c r="AM15" s="747">
        <f t="shared" si="15"/>
        <v>385.80700000000002</v>
      </c>
      <c r="AN15" s="117">
        <f>SUM(AN16:AN18)</f>
        <v>366.63666999999998</v>
      </c>
      <c r="AO15" s="98">
        <f>SUM(AO16:AO18)</f>
        <v>0</v>
      </c>
      <c r="AP15" s="98">
        <f>SUM(AP16:AP18)</f>
        <v>187.7224499999999</v>
      </c>
      <c r="AQ15" s="129">
        <f t="shared" si="16"/>
        <v>554.35911999999985</v>
      </c>
      <c r="AR15" s="139">
        <f>SUM(AR16:AR18)</f>
        <v>0</v>
      </c>
      <c r="AS15" s="98">
        <f>SUM(AS16:AS18)</f>
        <v>0</v>
      </c>
      <c r="AT15" s="98">
        <f>SUM(AT16:AT18)</f>
        <v>0</v>
      </c>
      <c r="AU15" s="129">
        <f t="shared" si="17"/>
        <v>0</v>
      </c>
      <c r="AV15" s="112">
        <f t="shared" si="18"/>
        <v>554.35911999999985</v>
      </c>
      <c r="AW15" s="117">
        <f>SUM(AW16:AW18)</f>
        <v>0</v>
      </c>
      <c r="AX15" s="97">
        <f>(AW15)/(AW15+T15)</f>
        <v>0</v>
      </c>
      <c r="AY15" s="685"/>
      <c r="AZ15" s="686"/>
      <c r="BA15" s="686"/>
      <c r="BB15" s="687"/>
      <c r="BC15" s="84">
        <f>SUM(BC16:BC18)</f>
        <v>0</v>
      </c>
      <c r="BD15" s="84">
        <f>SUM(BD16:BD18)</f>
        <v>0</v>
      </c>
      <c r="BE15" s="84">
        <f>SUM(BE16:BE18)</f>
        <v>0</v>
      </c>
    </row>
    <row r="16" spans="1:62" ht="13.5" customHeight="1" x14ac:dyDescent="0.2">
      <c r="A16" s="56" t="s">
        <v>424</v>
      </c>
      <c r="B16" s="110">
        <v>637.30166999999994</v>
      </c>
      <c r="C16" s="11"/>
      <c r="D16" s="11"/>
      <c r="E16" s="11"/>
      <c r="F16" s="11"/>
      <c r="G16" s="11"/>
      <c r="H16" s="11">
        <v>30.77345</v>
      </c>
      <c r="I16" s="11"/>
      <c r="J16" s="127">
        <f t="shared" si="24"/>
        <v>668.07511999999997</v>
      </c>
      <c r="K16" s="136"/>
      <c r="L16" s="89"/>
      <c r="M16" s="89"/>
      <c r="N16" s="89"/>
      <c r="O16" s="89"/>
      <c r="P16" s="89"/>
      <c r="Q16" s="89"/>
      <c r="R16" s="89"/>
      <c r="S16" s="130">
        <f t="shared" si="26"/>
        <v>0</v>
      </c>
      <c r="T16" s="145">
        <f t="shared" ref="T16:T30" si="29">S16+J16</f>
        <v>668.07511999999997</v>
      </c>
      <c r="U16" s="145">
        <v>-56.186999999999998</v>
      </c>
      <c r="V16" s="111"/>
      <c r="W16" s="748"/>
      <c r="X16" s="730">
        <v>385.80700000000002</v>
      </c>
      <c r="Y16" s="730"/>
      <c r="Z16" s="730"/>
      <c r="AA16" s="730"/>
      <c r="AB16" s="730"/>
      <c r="AC16" s="730"/>
      <c r="AD16" s="763">
        <f>SUM(W16:AC16)</f>
        <v>385.80700000000002</v>
      </c>
      <c r="AE16" s="769"/>
      <c r="AF16" s="730"/>
      <c r="AG16" s="730"/>
      <c r="AH16" s="730"/>
      <c r="AI16" s="730"/>
      <c r="AJ16" s="730"/>
      <c r="AK16" s="730"/>
      <c r="AL16" s="763">
        <f>SUM(AE16:AK16)</f>
        <v>0</v>
      </c>
      <c r="AM16" s="746">
        <f>AL16+AD16</f>
        <v>385.80700000000002</v>
      </c>
      <c r="AN16" s="113">
        <v>306.30167</v>
      </c>
      <c r="AO16" s="89"/>
      <c r="AP16" s="89">
        <f>30.77345+1.37999999999992</f>
        <v>32.153449999999921</v>
      </c>
      <c r="AQ16" s="130">
        <f>SUM(AN16:AP16)</f>
        <v>338.45511999999991</v>
      </c>
      <c r="AR16" s="136"/>
      <c r="AS16" s="89"/>
      <c r="AT16" s="89"/>
      <c r="AU16" s="130">
        <f>SUM(AR16:AT16)</f>
        <v>0</v>
      </c>
      <c r="AV16" s="111">
        <f>AU16+AQ16</f>
        <v>338.45511999999991</v>
      </c>
      <c r="AW16" s="113"/>
      <c r="AX16" s="86">
        <f>(AW16)/(AW16+T16)</f>
        <v>0</v>
      </c>
      <c r="AY16" s="688"/>
      <c r="AZ16" s="689"/>
      <c r="BA16" s="689"/>
      <c r="BB16" s="690"/>
      <c r="BC16" s="90"/>
      <c r="BD16" s="90"/>
      <c r="BE16" s="90"/>
    </row>
    <row r="17" spans="1:57" ht="13.5" customHeight="1" x14ac:dyDescent="0.2">
      <c r="A17" s="56" t="s">
        <v>425</v>
      </c>
      <c r="B17" s="110">
        <v>60.335000000000001</v>
      </c>
      <c r="C17" s="11"/>
      <c r="D17" s="11"/>
      <c r="E17" s="11">
        <v>153.98599999999999</v>
      </c>
      <c r="F17" s="11"/>
      <c r="G17" s="11"/>
      <c r="H17" s="11"/>
      <c r="I17" s="11"/>
      <c r="J17" s="127">
        <f t="shared" si="24"/>
        <v>214.321</v>
      </c>
      <c r="K17" s="136"/>
      <c r="L17" s="89"/>
      <c r="M17" s="89"/>
      <c r="N17" s="89"/>
      <c r="O17" s="89"/>
      <c r="P17" s="89"/>
      <c r="Q17" s="89"/>
      <c r="R17" s="89"/>
      <c r="S17" s="130">
        <f t="shared" si="26"/>
        <v>0</v>
      </c>
      <c r="T17" s="145">
        <f t="shared" si="29"/>
        <v>214.321</v>
      </c>
      <c r="U17" s="145"/>
      <c r="V17" s="111"/>
      <c r="W17" s="748"/>
      <c r="X17" s="730"/>
      <c r="Y17" s="730"/>
      <c r="Z17" s="730"/>
      <c r="AA17" s="730"/>
      <c r="AB17" s="730"/>
      <c r="AC17" s="730"/>
      <c r="AD17" s="763">
        <f>SUM(W17:AC17)</f>
        <v>0</v>
      </c>
      <c r="AE17" s="769"/>
      <c r="AF17" s="730"/>
      <c r="AG17" s="730"/>
      <c r="AH17" s="730"/>
      <c r="AI17" s="730"/>
      <c r="AJ17" s="730"/>
      <c r="AK17" s="730"/>
      <c r="AL17" s="763">
        <f>SUM(AE17:AK17)</f>
        <v>0</v>
      </c>
      <c r="AM17" s="746">
        <f>AL17+AD17</f>
        <v>0</v>
      </c>
      <c r="AN17" s="113">
        <v>60.335000000000001</v>
      </c>
      <c r="AO17" s="89"/>
      <c r="AP17" s="89">
        <v>153.98599999999999</v>
      </c>
      <c r="AQ17" s="130">
        <f>SUM(AN17:AP17)</f>
        <v>214.321</v>
      </c>
      <c r="AR17" s="136"/>
      <c r="AS17" s="89"/>
      <c r="AT17" s="89"/>
      <c r="AU17" s="130">
        <f>SUM(AR17:AT17)</f>
        <v>0</v>
      </c>
      <c r="AV17" s="111">
        <f>AU17+AQ17</f>
        <v>214.321</v>
      </c>
      <c r="AW17" s="113"/>
      <c r="AX17" s="86">
        <f>(AW17)/(AW17+T17)</f>
        <v>0</v>
      </c>
      <c r="AY17" s="688"/>
      <c r="AZ17" s="689"/>
      <c r="BA17" s="689"/>
      <c r="BB17" s="690"/>
      <c r="BC17" s="90"/>
      <c r="BD17" s="90"/>
      <c r="BE17" s="90"/>
    </row>
    <row r="18" spans="1:57" ht="13.5" customHeight="1" x14ac:dyDescent="0.2">
      <c r="A18" s="56" t="s">
        <v>427</v>
      </c>
      <c r="B18" s="110"/>
      <c r="C18" s="11"/>
      <c r="D18" s="11"/>
      <c r="E18" s="11"/>
      <c r="F18" s="11"/>
      <c r="G18" s="11"/>
      <c r="H18" s="11">
        <v>1.583</v>
      </c>
      <c r="I18" s="11"/>
      <c r="J18" s="127">
        <f t="shared" si="24"/>
        <v>1.583</v>
      </c>
      <c r="K18" s="136"/>
      <c r="L18" s="89"/>
      <c r="M18" s="89"/>
      <c r="N18" s="89"/>
      <c r="O18" s="89"/>
      <c r="P18" s="89"/>
      <c r="Q18" s="89"/>
      <c r="R18" s="89"/>
      <c r="S18" s="130">
        <f t="shared" si="26"/>
        <v>0</v>
      </c>
      <c r="T18" s="145">
        <f t="shared" si="29"/>
        <v>1.583</v>
      </c>
      <c r="U18" s="145"/>
      <c r="V18" s="111"/>
      <c r="W18" s="748"/>
      <c r="X18" s="730"/>
      <c r="Y18" s="730"/>
      <c r="Z18" s="730"/>
      <c r="AA18" s="730"/>
      <c r="AB18" s="730"/>
      <c r="AC18" s="730"/>
      <c r="AD18" s="763">
        <f t="shared" ref="AD18:AD35" si="30">SUM(W18:AC18)</f>
        <v>0</v>
      </c>
      <c r="AE18" s="769"/>
      <c r="AF18" s="730"/>
      <c r="AG18" s="730"/>
      <c r="AH18" s="730"/>
      <c r="AI18" s="730"/>
      <c r="AJ18" s="730"/>
      <c r="AK18" s="730"/>
      <c r="AL18" s="763">
        <f t="shared" ref="AL18:AL25" si="31">SUM(AE18:AK18)</f>
        <v>0</v>
      </c>
      <c r="AM18" s="746">
        <f t="shared" ref="AM18:AM35" si="32">AL18+AD18</f>
        <v>0</v>
      </c>
      <c r="AN18" s="113"/>
      <c r="AO18" s="89"/>
      <c r="AP18" s="89">
        <v>1.583</v>
      </c>
      <c r="AQ18" s="130">
        <f t="shared" si="16"/>
        <v>1.583</v>
      </c>
      <c r="AR18" s="136"/>
      <c r="AS18" s="89"/>
      <c r="AT18" s="89"/>
      <c r="AU18" s="130">
        <f t="shared" ref="AU18:AU25" si="33">SUM(AR18:AT18)</f>
        <v>0</v>
      </c>
      <c r="AV18" s="111">
        <f t="shared" ref="AV18:AV35" si="34">AU18+AQ18</f>
        <v>1.583</v>
      </c>
      <c r="AW18" s="113"/>
      <c r="AX18" s="86">
        <f>(AW18)/(AW18+T18)</f>
        <v>0</v>
      </c>
      <c r="AY18" s="688"/>
      <c r="AZ18" s="689"/>
      <c r="BA18" s="689"/>
      <c r="BB18" s="690"/>
      <c r="BC18" s="90"/>
      <c r="BD18" s="90"/>
      <c r="BE18" s="90"/>
    </row>
    <row r="19" spans="1:57" ht="13.5" customHeight="1" x14ac:dyDescent="0.2">
      <c r="A19" s="168" t="s">
        <v>440</v>
      </c>
      <c r="B19" s="108">
        <f t="shared" ref="B19:I19" si="35">SUM(B20)</f>
        <v>31496.844300872799</v>
      </c>
      <c r="C19" s="96">
        <f t="shared" si="35"/>
        <v>22397.792450000001</v>
      </c>
      <c r="D19" s="96">
        <f t="shared" si="35"/>
        <v>0</v>
      </c>
      <c r="E19" s="96">
        <f t="shared" si="35"/>
        <v>0</v>
      </c>
      <c r="F19" s="96">
        <f t="shared" si="35"/>
        <v>0</v>
      </c>
      <c r="G19" s="96">
        <f t="shared" si="35"/>
        <v>258.49112399394198</v>
      </c>
      <c r="H19" s="96">
        <f t="shared" si="35"/>
        <v>0</v>
      </c>
      <c r="I19" s="96">
        <f t="shared" si="35"/>
        <v>227.24199999999999</v>
      </c>
      <c r="J19" s="126">
        <f t="shared" si="24"/>
        <v>54380.369874866738</v>
      </c>
      <c r="K19" s="135">
        <f t="shared" ref="K19:R19" si="36">SUM(K20)</f>
        <v>0</v>
      </c>
      <c r="L19" s="96">
        <f t="shared" si="36"/>
        <v>0</v>
      </c>
      <c r="M19" s="96">
        <f t="shared" si="36"/>
        <v>0</v>
      </c>
      <c r="N19" s="96">
        <f t="shared" si="36"/>
        <v>0</v>
      </c>
      <c r="O19" s="96">
        <f t="shared" si="36"/>
        <v>0</v>
      </c>
      <c r="P19" s="96">
        <f t="shared" si="36"/>
        <v>0</v>
      </c>
      <c r="Q19" s="96">
        <f t="shared" si="36"/>
        <v>0</v>
      </c>
      <c r="R19" s="96">
        <f t="shared" si="36"/>
        <v>0</v>
      </c>
      <c r="S19" s="129">
        <f t="shared" si="26"/>
        <v>0</v>
      </c>
      <c r="T19" s="146">
        <f t="shared" si="29"/>
        <v>54380.369874866738</v>
      </c>
      <c r="U19" s="146">
        <f>SUM(U20)</f>
        <v>-3873.2008099999998</v>
      </c>
      <c r="V19" s="112">
        <f>SUM(V20)</f>
        <v>0</v>
      </c>
      <c r="W19" s="752">
        <f t="shared" ref="W19:AC19" si="37">SUM(W20)</f>
        <v>21728.024570000001</v>
      </c>
      <c r="X19" s="734">
        <f t="shared" si="37"/>
        <v>0</v>
      </c>
      <c r="Y19" s="734">
        <f t="shared" si="37"/>
        <v>0</v>
      </c>
      <c r="Z19" s="734">
        <f t="shared" si="37"/>
        <v>0</v>
      </c>
      <c r="AA19" s="734">
        <f t="shared" si="37"/>
        <v>0</v>
      </c>
      <c r="AB19" s="734">
        <f t="shared" si="37"/>
        <v>0</v>
      </c>
      <c r="AC19" s="734">
        <f t="shared" si="37"/>
        <v>0</v>
      </c>
      <c r="AD19" s="762">
        <f t="shared" si="30"/>
        <v>21728.024570000001</v>
      </c>
      <c r="AE19" s="772">
        <f t="shared" ref="AE19:AK19" si="38">SUM(AE20)</f>
        <v>0</v>
      </c>
      <c r="AF19" s="734">
        <f t="shared" si="38"/>
        <v>0</v>
      </c>
      <c r="AG19" s="734">
        <f t="shared" si="38"/>
        <v>0</v>
      </c>
      <c r="AH19" s="734">
        <f t="shared" si="38"/>
        <v>0</v>
      </c>
      <c r="AI19" s="734">
        <f t="shared" si="38"/>
        <v>0</v>
      </c>
      <c r="AJ19" s="734">
        <f t="shared" si="38"/>
        <v>0</v>
      </c>
      <c r="AK19" s="734">
        <f t="shared" si="38"/>
        <v>0</v>
      </c>
      <c r="AL19" s="762">
        <f t="shared" si="31"/>
        <v>0</v>
      </c>
      <c r="AM19" s="747">
        <f t="shared" si="32"/>
        <v>21728.024570000001</v>
      </c>
      <c r="AN19" s="117">
        <f>AN20</f>
        <v>29796.328120000002</v>
      </c>
      <c r="AO19" s="98">
        <f>AO20</f>
        <v>6729.2179999999998</v>
      </c>
      <c r="AP19" s="98">
        <f>AP20</f>
        <v>0</v>
      </c>
      <c r="AQ19" s="129">
        <f t="shared" si="16"/>
        <v>36525.546119999999</v>
      </c>
      <c r="AR19" s="139">
        <f>SUM(AR20:AT20)</f>
        <v>0</v>
      </c>
      <c r="AS19" s="98"/>
      <c r="AT19" s="98"/>
      <c r="AU19" s="129">
        <f t="shared" si="33"/>
        <v>0</v>
      </c>
      <c r="AV19" s="112">
        <f t="shared" si="34"/>
        <v>36525.546119999999</v>
      </c>
      <c r="AW19" s="117">
        <v>32763.16649</v>
      </c>
      <c r="AX19" s="97">
        <f>(AW19)/(AW19+T19-U19)</f>
        <v>0.35996858937113368</v>
      </c>
      <c r="AY19" s="685">
        <f>T19/BC19</f>
        <v>5.6158516998593193E-2</v>
      </c>
      <c r="AZ19" s="686">
        <f t="shared" ref="AZ19:AZ30" si="39">T19/BE19</f>
        <v>6.5153290554103363E-3</v>
      </c>
      <c r="BA19" s="686">
        <f>AV19/BC19</f>
        <v>3.7719870375705976E-2</v>
      </c>
      <c r="BB19" s="687">
        <f t="shared" ref="BB19:BB30" si="40">AV19/BE19</f>
        <v>4.3761370591624627E-3</v>
      </c>
      <c r="BC19" s="84">
        <f t="shared" ref="BC19:BE19" si="41">BC20</f>
        <v>968337</v>
      </c>
      <c r="BD19" s="84">
        <f t="shared" si="41"/>
        <v>2043626</v>
      </c>
      <c r="BE19" s="84">
        <f t="shared" si="41"/>
        <v>8346526.9999999795</v>
      </c>
    </row>
    <row r="20" spans="1:57" ht="13.5" customHeight="1" x14ac:dyDescent="0.2">
      <c r="A20" s="56" t="s">
        <v>441</v>
      </c>
      <c r="B20" s="110">
        <f>31496844.3008728/1000</f>
        <v>31496.844300872799</v>
      </c>
      <c r="C20" s="11">
        <f>22397792.45/1000</f>
        <v>22397.792450000001</v>
      </c>
      <c r="D20" s="11"/>
      <c r="E20" s="11"/>
      <c r="F20" s="11"/>
      <c r="G20" s="11">
        <f>258491.123993942/1000</f>
        <v>258.49112399394198</v>
      </c>
      <c r="H20" s="11"/>
      <c r="I20" s="11">
        <f>227242/1000</f>
        <v>227.24199999999999</v>
      </c>
      <c r="J20" s="127">
        <f t="shared" si="24"/>
        <v>54380.369874866738</v>
      </c>
      <c r="K20" s="136"/>
      <c r="L20" s="89"/>
      <c r="M20" s="89"/>
      <c r="N20" s="89"/>
      <c r="O20" s="89"/>
      <c r="P20" s="89"/>
      <c r="Q20" s="89"/>
      <c r="R20" s="89"/>
      <c r="S20" s="130">
        <f t="shared" si="26"/>
        <v>0</v>
      </c>
      <c r="T20" s="145">
        <f t="shared" si="29"/>
        <v>54380.369874866738</v>
      </c>
      <c r="U20" s="145">
        <v>-3873.2008099999998</v>
      </c>
      <c r="V20" s="111"/>
      <c r="W20" s="748">
        <f>21728024.57/1000</f>
        <v>21728.024570000001</v>
      </c>
      <c r="X20" s="730"/>
      <c r="Y20" s="730"/>
      <c r="Z20" s="730"/>
      <c r="AA20" s="730"/>
      <c r="AB20" s="730"/>
      <c r="AC20" s="730"/>
      <c r="AD20" s="763">
        <f t="shared" si="30"/>
        <v>21728.024570000001</v>
      </c>
      <c r="AE20" s="769"/>
      <c r="AF20" s="730"/>
      <c r="AG20" s="730"/>
      <c r="AH20" s="730"/>
      <c r="AI20" s="730"/>
      <c r="AJ20" s="730"/>
      <c r="AK20" s="730"/>
      <c r="AL20" s="763">
        <f t="shared" si="31"/>
        <v>0</v>
      </c>
      <c r="AM20" s="746">
        <f t="shared" si="32"/>
        <v>21728.024570000001</v>
      </c>
      <c r="AN20" s="113">
        <f>19274.10853+10522.21959</f>
        <v>29796.328120000002</v>
      </c>
      <c r="AO20" s="89">
        <v>6729.2179999999998</v>
      </c>
      <c r="AP20" s="89"/>
      <c r="AQ20" s="130">
        <f t="shared" si="16"/>
        <v>36525.546119999999</v>
      </c>
      <c r="AR20" s="136"/>
      <c r="AS20" s="89"/>
      <c r="AT20" s="89"/>
      <c r="AU20" s="130">
        <f t="shared" si="33"/>
        <v>0</v>
      </c>
      <c r="AV20" s="111">
        <f t="shared" si="34"/>
        <v>36525.546119999999</v>
      </c>
      <c r="AW20" s="113">
        <v>32763.16649</v>
      </c>
      <c r="AX20" s="86">
        <f>(AW20)/(AW20+T20-U20)</f>
        <v>0.35996858937113368</v>
      </c>
      <c r="AY20" s="688">
        <f>T20/BC20</f>
        <v>5.6158516998593193E-2</v>
      </c>
      <c r="AZ20" s="689">
        <f t="shared" si="39"/>
        <v>6.5153290554103363E-3</v>
      </c>
      <c r="BA20" s="689">
        <f>AV20/BC20</f>
        <v>3.7719870375705976E-2</v>
      </c>
      <c r="BB20" s="690">
        <f t="shared" si="40"/>
        <v>4.3761370591624627E-3</v>
      </c>
      <c r="BC20" s="90">
        <v>968337</v>
      </c>
      <c r="BD20" s="90">
        <v>2043626</v>
      </c>
      <c r="BE20" s="90">
        <v>8346526.9999999795</v>
      </c>
    </row>
    <row r="21" spans="1:57" ht="13.5" customHeight="1" x14ac:dyDescent="0.2">
      <c r="A21" s="168" t="s">
        <v>442</v>
      </c>
      <c r="B21" s="108">
        <f t="shared" ref="B21:I21" si="42">SUM(B22:B23)</f>
        <v>4036.4479999999999</v>
      </c>
      <c r="C21" s="96">
        <f t="shared" si="42"/>
        <v>236.83199999999999</v>
      </c>
      <c r="D21" s="96">
        <f t="shared" si="42"/>
        <v>109</v>
      </c>
      <c r="E21" s="96">
        <f t="shared" si="42"/>
        <v>173.00700000000001</v>
      </c>
      <c r="F21" s="96">
        <f t="shared" si="42"/>
        <v>0</v>
      </c>
      <c r="G21" s="96">
        <f t="shared" si="42"/>
        <v>0</v>
      </c>
      <c r="H21" s="96">
        <f t="shared" si="42"/>
        <v>0</v>
      </c>
      <c r="I21" s="96">
        <f t="shared" si="42"/>
        <v>0</v>
      </c>
      <c r="J21" s="126">
        <f t="shared" si="24"/>
        <v>4555.2869999999994</v>
      </c>
      <c r="K21" s="135">
        <f t="shared" ref="K21:R21" si="43">SUM(K22:K23)</f>
        <v>0</v>
      </c>
      <c r="L21" s="96">
        <f t="shared" si="43"/>
        <v>0</v>
      </c>
      <c r="M21" s="96">
        <f t="shared" si="43"/>
        <v>0</v>
      </c>
      <c r="N21" s="96">
        <f t="shared" si="43"/>
        <v>0</v>
      </c>
      <c r="O21" s="96">
        <f>SUM(O22:O23)</f>
        <v>622.20000000000005</v>
      </c>
      <c r="P21" s="96">
        <f t="shared" si="43"/>
        <v>0</v>
      </c>
      <c r="Q21" s="96">
        <f t="shared" si="43"/>
        <v>0</v>
      </c>
      <c r="R21" s="96">
        <f t="shared" si="43"/>
        <v>0</v>
      </c>
      <c r="S21" s="129">
        <f t="shared" si="26"/>
        <v>622.20000000000005</v>
      </c>
      <c r="T21" s="146">
        <f t="shared" si="29"/>
        <v>5177.4869999999992</v>
      </c>
      <c r="U21" s="146">
        <f t="shared" ref="U21:AC21" si="44">SUM(U22:U23)</f>
        <v>0</v>
      </c>
      <c r="V21" s="112">
        <f t="shared" si="44"/>
        <v>1912</v>
      </c>
      <c r="W21" s="752">
        <f t="shared" si="44"/>
        <v>2411.9859999999999</v>
      </c>
      <c r="X21" s="734">
        <f t="shared" si="44"/>
        <v>0</v>
      </c>
      <c r="Y21" s="734">
        <f t="shared" si="44"/>
        <v>0</v>
      </c>
      <c r="Z21" s="734">
        <f t="shared" si="44"/>
        <v>0</v>
      </c>
      <c r="AA21" s="734">
        <f t="shared" si="44"/>
        <v>0</v>
      </c>
      <c r="AB21" s="734">
        <f t="shared" si="44"/>
        <v>0</v>
      </c>
      <c r="AC21" s="734">
        <f t="shared" si="44"/>
        <v>0</v>
      </c>
      <c r="AD21" s="762">
        <f t="shared" si="30"/>
        <v>2411.9859999999999</v>
      </c>
      <c r="AE21" s="772">
        <f t="shared" ref="AE21:AK21" si="45">SUM(AE22:AE23)</f>
        <v>0</v>
      </c>
      <c r="AF21" s="734">
        <f t="shared" si="45"/>
        <v>0</v>
      </c>
      <c r="AG21" s="734">
        <f t="shared" si="45"/>
        <v>0</v>
      </c>
      <c r="AH21" s="734">
        <f t="shared" si="45"/>
        <v>0</v>
      </c>
      <c r="AI21" s="734">
        <f t="shared" si="45"/>
        <v>0</v>
      </c>
      <c r="AJ21" s="734">
        <f t="shared" si="45"/>
        <v>0</v>
      </c>
      <c r="AK21" s="734">
        <f t="shared" si="45"/>
        <v>0</v>
      </c>
      <c r="AL21" s="762">
        <f t="shared" si="31"/>
        <v>0</v>
      </c>
      <c r="AM21" s="747">
        <f t="shared" si="32"/>
        <v>2411.9859999999999</v>
      </c>
      <c r="AN21" s="117">
        <f>SUM(AN22:AN23)</f>
        <v>0</v>
      </c>
      <c r="AO21" s="98">
        <f>SUM(AO22:AO23)</f>
        <v>0</v>
      </c>
      <c r="AP21" s="98">
        <f>SUM(AP22:AP23)</f>
        <v>0</v>
      </c>
      <c r="AQ21" s="129">
        <f t="shared" si="16"/>
        <v>0</v>
      </c>
      <c r="AR21" s="139">
        <f>SUM(AR22:AR23)</f>
        <v>1702.3910000000001</v>
      </c>
      <c r="AS21" s="98">
        <f>SUM(AS22:AS23)</f>
        <v>988.01099999999997</v>
      </c>
      <c r="AT21" s="98">
        <f>SUM(AT22:AT23)</f>
        <v>75.099000000000004</v>
      </c>
      <c r="AU21" s="129">
        <f t="shared" si="33"/>
        <v>2765.5010000000002</v>
      </c>
      <c r="AV21" s="112">
        <f t="shared" si="34"/>
        <v>2765.5010000000002</v>
      </c>
      <c r="AW21" s="117">
        <f>SUM(AW22:AW23)</f>
        <v>109771</v>
      </c>
      <c r="AX21" s="97">
        <f t="shared" ref="AX21:AX30" si="46">(AW21)/(AW21+T21)</f>
        <v>0.9549581979273899</v>
      </c>
      <c r="AY21" s="685">
        <f>T21/BC21</f>
        <v>1.5663305443017198E-2</v>
      </c>
      <c r="AZ21" s="686">
        <f t="shared" si="39"/>
        <v>3.29314310622065E-4</v>
      </c>
      <c r="BA21" s="686">
        <f>AV21/BC21</f>
        <v>8.3663922026205994E-3</v>
      </c>
      <c r="BB21" s="687">
        <f t="shared" si="40"/>
        <v>1.7589982463299891E-4</v>
      </c>
      <c r="BC21" s="84">
        <f>SUM(BC22:BC23)</f>
        <v>330548.81160528958</v>
      </c>
      <c r="BD21" s="84">
        <f>SUM(BD22:BD23)</f>
        <v>0</v>
      </c>
      <c r="BE21" s="84">
        <f>SUM(BE22:BE23)</f>
        <v>15722022.496440798</v>
      </c>
    </row>
    <row r="22" spans="1:57" ht="13.5" customHeight="1" x14ac:dyDescent="0.2">
      <c r="A22" s="56" t="s">
        <v>443</v>
      </c>
      <c r="B22" s="110">
        <v>2876</v>
      </c>
      <c r="C22" s="11">
        <v>226</v>
      </c>
      <c r="D22" s="11">
        <v>109</v>
      </c>
      <c r="E22" s="11">
        <v>98</v>
      </c>
      <c r="F22" s="11"/>
      <c r="G22" s="11"/>
      <c r="H22" s="11"/>
      <c r="I22" s="11"/>
      <c r="J22" s="127">
        <f t="shared" si="24"/>
        <v>3309</v>
      </c>
      <c r="K22" s="136"/>
      <c r="L22" s="89"/>
      <c r="M22" s="89"/>
      <c r="N22" s="89"/>
      <c r="O22" s="89">
        <v>287</v>
      </c>
      <c r="P22" s="89"/>
      <c r="Q22" s="89"/>
      <c r="R22" s="89"/>
      <c r="S22" s="130">
        <f t="shared" si="26"/>
        <v>287</v>
      </c>
      <c r="T22" s="145">
        <f t="shared" si="29"/>
        <v>3596</v>
      </c>
      <c r="U22" s="145">
        <v>0</v>
      </c>
      <c r="V22" s="111"/>
      <c r="W22" s="748">
        <v>2307</v>
      </c>
      <c r="X22" s="730"/>
      <c r="Y22" s="730"/>
      <c r="Z22" s="730"/>
      <c r="AA22" s="730"/>
      <c r="AB22" s="730"/>
      <c r="AC22" s="730"/>
      <c r="AD22" s="763">
        <f t="shared" si="30"/>
        <v>2307</v>
      </c>
      <c r="AE22" s="769"/>
      <c r="AF22" s="730"/>
      <c r="AG22" s="730"/>
      <c r="AH22" s="730"/>
      <c r="AI22" s="730"/>
      <c r="AJ22" s="730"/>
      <c r="AK22" s="730"/>
      <c r="AL22" s="763">
        <f t="shared" si="31"/>
        <v>0</v>
      </c>
      <c r="AM22" s="746">
        <f t="shared" si="32"/>
        <v>2307</v>
      </c>
      <c r="AN22" s="113"/>
      <c r="AO22" s="89"/>
      <c r="AP22" s="89"/>
      <c r="AQ22" s="130">
        <f t="shared" si="16"/>
        <v>0</v>
      </c>
      <c r="AR22" s="136">
        <v>852</v>
      </c>
      <c r="AS22" s="89">
        <v>412</v>
      </c>
      <c r="AT22" s="89">
        <v>25</v>
      </c>
      <c r="AU22" s="130">
        <f t="shared" si="33"/>
        <v>1289</v>
      </c>
      <c r="AV22" s="111">
        <f t="shared" si="34"/>
        <v>1289</v>
      </c>
      <c r="AW22" s="113">
        <v>81745</v>
      </c>
      <c r="AX22" s="86">
        <f t="shared" si="46"/>
        <v>0.95786316073165301</v>
      </c>
      <c r="AY22" s="688">
        <f>T22/BC22</f>
        <v>1.4649936690691758E-2</v>
      </c>
      <c r="AZ22" s="689">
        <f t="shared" si="39"/>
        <v>4.0694060069891498E-4</v>
      </c>
      <c r="BA22" s="689">
        <f>AV22/BC22</f>
        <v>5.251326027336395E-3</v>
      </c>
      <c r="BB22" s="690">
        <f t="shared" si="40"/>
        <v>1.4586941999468895E-4</v>
      </c>
      <c r="BC22" s="90">
        <v>245461.81160528961</v>
      </c>
      <c r="BD22" s="90"/>
      <c r="BE22" s="90">
        <v>8836670.4964408036</v>
      </c>
    </row>
    <row r="23" spans="1:57" ht="13.5" customHeight="1" x14ac:dyDescent="0.2">
      <c r="A23" s="56" t="s">
        <v>630</v>
      </c>
      <c r="B23" s="110">
        <v>1160.4479999999999</v>
      </c>
      <c r="C23" s="11">
        <v>10.832000000000001</v>
      </c>
      <c r="D23" s="11"/>
      <c r="E23" s="11">
        <v>75.007000000000005</v>
      </c>
      <c r="F23" s="11"/>
      <c r="G23" s="11"/>
      <c r="H23" s="11"/>
      <c r="I23" s="11"/>
      <c r="J23" s="127">
        <f t="shared" si="24"/>
        <v>1246.287</v>
      </c>
      <c r="K23" s="136"/>
      <c r="L23" s="89"/>
      <c r="M23" s="89"/>
      <c r="N23" s="89"/>
      <c r="O23" s="89">
        <v>335.2</v>
      </c>
      <c r="P23" s="89"/>
      <c r="Q23" s="89"/>
      <c r="R23" s="89"/>
      <c r="S23" s="130">
        <f t="shared" si="26"/>
        <v>335.2</v>
      </c>
      <c r="T23" s="145">
        <f t="shared" si="29"/>
        <v>1581.4870000000001</v>
      </c>
      <c r="U23" s="145"/>
      <c r="V23" s="111">
        <v>1912</v>
      </c>
      <c r="W23" s="748">
        <v>104.986</v>
      </c>
      <c r="X23" s="730"/>
      <c r="Y23" s="730"/>
      <c r="Z23" s="730"/>
      <c r="AA23" s="730"/>
      <c r="AB23" s="730"/>
      <c r="AC23" s="730"/>
      <c r="AD23" s="763">
        <f t="shared" si="30"/>
        <v>104.986</v>
      </c>
      <c r="AE23" s="769"/>
      <c r="AF23" s="730"/>
      <c r="AG23" s="730"/>
      <c r="AH23" s="730"/>
      <c r="AI23" s="730"/>
      <c r="AJ23" s="730"/>
      <c r="AK23" s="730"/>
      <c r="AL23" s="763">
        <f t="shared" si="31"/>
        <v>0</v>
      </c>
      <c r="AM23" s="746">
        <f t="shared" si="32"/>
        <v>104.986</v>
      </c>
      <c r="AN23" s="113"/>
      <c r="AO23" s="89"/>
      <c r="AP23" s="89"/>
      <c r="AQ23" s="130">
        <f t="shared" si="16"/>
        <v>0</v>
      </c>
      <c r="AR23" s="136">
        <v>850.39099999999996</v>
      </c>
      <c r="AS23" s="89">
        <v>576.01099999999997</v>
      </c>
      <c r="AT23" s="89">
        <v>50.099000000000004</v>
      </c>
      <c r="AU23" s="130">
        <f t="shared" si="33"/>
        <v>1476.501</v>
      </c>
      <c r="AV23" s="111">
        <f t="shared" si="34"/>
        <v>1476.501</v>
      </c>
      <c r="AW23" s="113">
        <v>28026</v>
      </c>
      <c r="AX23" s="86">
        <f t="shared" si="46"/>
        <v>0.94658489590825456</v>
      </c>
      <c r="AY23" s="688">
        <f>T23/BC23</f>
        <v>1.8586705372148508E-2</v>
      </c>
      <c r="AZ23" s="689">
        <f t="shared" si="39"/>
        <v>2.2968862013154903E-4</v>
      </c>
      <c r="BA23" s="689">
        <f>AV23/BC23</f>
        <v>1.7352838859050149E-2</v>
      </c>
      <c r="BB23" s="690">
        <f t="shared" si="40"/>
        <v>2.1444088842516711E-4</v>
      </c>
      <c r="BC23" s="90">
        <v>85087</v>
      </c>
      <c r="BD23" s="90"/>
      <c r="BE23" s="90">
        <v>6885351.9999999944</v>
      </c>
    </row>
    <row r="24" spans="1:57" ht="13.5" customHeight="1" x14ac:dyDescent="0.2">
      <c r="A24" s="168" t="s">
        <v>446</v>
      </c>
      <c r="B24" s="108">
        <f t="shared" ref="B24:I24" si="47">B25</f>
        <v>0</v>
      </c>
      <c r="C24" s="96">
        <f t="shared" si="47"/>
        <v>0</v>
      </c>
      <c r="D24" s="96">
        <f t="shared" si="47"/>
        <v>0</v>
      </c>
      <c r="E24" s="96">
        <f t="shared" si="47"/>
        <v>0</v>
      </c>
      <c r="F24" s="96">
        <f t="shared" si="47"/>
        <v>0</v>
      </c>
      <c r="G24" s="96">
        <f t="shared" si="47"/>
        <v>0</v>
      </c>
      <c r="H24" s="96">
        <f t="shared" si="47"/>
        <v>82.822000000000003</v>
      </c>
      <c r="I24" s="96">
        <f t="shared" si="47"/>
        <v>0</v>
      </c>
      <c r="J24" s="126">
        <f t="shared" si="24"/>
        <v>82.822000000000003</v>
      </c>
      <c r="K24" s="135">
        <f t="shared" ref="K24:R24" si="48">K25</f>
        <v>0</v>
      </c>
      <c r="L24" s="96">
        <f t="shared" si="48"/>
        <v>0</v>
      </c>
      <c r="M24" s="96">
        <f t="shared" si="48"/>
        <v>0</v>
      </c>
      <c r="N24" s="96">
        <f t="shared" si="48"/>
        <v>0</v>
      </c>
      <c r="O24" s="96">
        <f t="shared" si="48"/>
        <v>0</v>
      </c>
      <c r="P24" s="96">
        <f t="shared" si="48"/>
        <v>0</v>
      </c>
      <c r="Q24" s="96">
        <f t="shared" si="48"/>
        <v>0</v>
      </c>
      <c r="R24" s="96">
        <f t="shared" si="48"/>
        <v>957.92</v>
      </c>
      <c r="S24" s="129">
        <f t="shared" si="26"/>
        <v>957.92</v>
      </c>
      <c r="T24" s="146">
        <f t="shared" si="29"/>
        <v>1040.742</v>
      </c>
      <c r="U24" s="146">
        <f>U25</f>
        <v>0</v>
      </c>
      <c r="V24" s="112">
        <f>V25</f>
        <v>0</v>
      </c>
      <c r="W24" s="752">
        <f t="shared" ref="W24:AC24" si="49">W25</f>
        <v>0</v>
      </c>
      <c r="X24" s="734">
        <f t="shared" si="49"/>
        <v>0</v>
      </c>
      <c r="Y24" s="734">
        <f t="shared" si="49"/>
        <v>0</v>
      </c>
      <c r="Z24" s="734">
        <f t="shared" si="49"/>
        <v>0</v>
      </c>
      <c r="AA24" s="734">
        <f t="shared" si="49"/>
        <v>0</v>
      </c>
      <c r="AB24" s="734">
        <f t="shared" si="49"/>
        <v>0</v>
      </c>
      <c r="AC24" s="734">
        <f t="shared" si="49"/>
        <v>0</v>
      </c>
      <c r="AD24" s="762">
        <f t="shared" si="30"/>
        <v>0</v>
      </c>
      <c r="AE24" s="772">
        <f t="shared" ref="AE24:AK24" si="50">AE25</f>
        <v>0</v>
      </c>
      <c r="AF24" s="734">
        <f t="shared" si="50"/>
        <v>0</v>
      </c>
      <c r="AG24" s="734">
        <f t="shared" si="50"/>
        <v>0</v>
      </c>
      <c r="AH24" s="734">
        <f t="shared" si="50"/>
        <v>0</v>
      </c>
      <c r="AI24" s="734">
        <f t="shared" si="50"/>
        <v>0</v>
      </c>
      <c r="AJ24" s="734">
        <f t="shared" si="50"/>
        <v>0</v>
      </c>
      <c r="AK24" s="734">
        <f t="shared" si="50"/>
        <v>0</v>
      </c>
      <c r="AL24" s="762">
        <f t="shared" si="31"/>
        <v>0</v>
      </c>
      <c r="AM24" s="747">
        <f t="shared" si="32"/>
        <v>0</v>
      </c>
      <c r="AN24" s="117">
        <f>SUM(AN25)</f>
        <v>0</v>
      </c>
      <c r="AO24" s="98">
        <f>SUM(AO25)</f>
        <v>0</v>
      </c>
      <c r="AP24" s="98">
        <f>SUM(AP25)</f>
        <v>82.822000000000003</v>
      </c>
      <c r="AQ24" s="129">
        <f t="shared" si="16"/>
        <v>82.822000000000003</v>
      </c>
      <c r="AR24" s="139">
        <f>AR25</f>
        <v>84.64</v>
      </c>
      <c r="AS24" s="98">
        <f>AS25</f>
        <v>873.28</v>
      </c>
      <c r="AT24" s="98">
        <f>AT25</f>
        <v>0</v>
      </c>
      <c r="AU24" s="129">
        <f t="shared" si="33"/>
        <v>957.92</v>
      </c>
      <c r="AV24" s="112">
        <f t="shared" si="34"/>
        <v>1040.742</v>
      </c>
      <c r="AW24" s="117">
        <f>AW25</f>
        <v>4218.9160000000002</v>
      </c>
      <c r="AX24" s="97">
        <f t="shared" si="46"/>
        <v>0.80212743870418945</v>
      </c>
      <c r="AY24" s="685">
        <f>T24/BD24</f>
        <v>9.3478742554977303E-6</v>
      </c>
      <c r="AZ24" s="686">
        <f t="shared" si="39"/>
        <v>5.3401809954286802E-4</v>
      </c>
      <c r="BA24" s="686">
        <f>AV24/BD24</f>
        <v>9.3478742554977303E-6</v>
      </c>
      <c r="BB24" s="687">
        <f t="shared" si="40"/>
        <v>5.3401809954286802E-4</v>
      </c>
      <c r="BC24" s="84">
        <f t="shared" ref="BC24:BE24" si="51">BC25</f>
        <v>4160.22</v>
      </c>
      <c r="BD24" s="84">
        <f t="shared" si="51"/>
        <v>111334617</v>
      </c>
      <c r="BE24" s="84">
        <f t="shared" si="51"/>
        <v>1948888.9999999991</v>
      </c>
    </row>
    <row r="25" spans="1:57" ht="13.5" customHeight="1" x14ac:dyDescent="0.2">
      <c r="A25" s="56" t="s">
        <v>633</v>
      </c>
      <c r="B25" s="110"/>
      <c r="C25" s="11"/>
      <c r="D25" s="11"/>
      <c r="E25" s="11"/>
      <c r="F25" s="11"/>
      <c r="G25" s="11"/>
      <c r="H25" s="11">
        <v>82.822000000000003</v>
      </c>
      <c r="I25" s="11"/>
      <c r="J25" s="127">
        <f t="shared" si="24"/>
        <v>82.822000000000003</v>
      </c>
      <c r="K25" s="136"/>
      <c r="L25" s="89"/>
      <c r="M25" s="89"/>
      <c r="N25" s="89"/>
      <c r="O25" s="89"/>
      <c r="P25" s="89"/>
      <c r="Q25" s="89"/>
      <c r="R25" s="89">
        <v>957.92</v>
      </c>
      <c r="S25" s="130">
        <f t="shared" si="26"/>
        <v>957.92</v>
      </c>
      <c r="T25" s="145">
        <f t="shared" si="29"/>
        <v>1040.742</v>
      </c>
      <c r="U25" s="145">
        <v>0</v>
      </c>
      <c r="V25" s="111">
        <v>0</v>
      </c>
      <c r="W25" s="748"/>
      <c r="X25" s="730"/>
      <c r="Y25" s="730"/>
      <c r="Z25" s="730"/>
      <c r="AA25" s="730"/>
      <c r="AB25" s="730"/>
      <c r="AC25" s="730"/>
      <c r="AD25" s="763">
        <f t="shared" si="30"/>
        <v>0</v>
      </c>
      <c r="AE25" s="769"/>
      <c r="AF25" s="730"/>
      <c r="AG25" s="730"/>
      <c r="AH25" s="730"/>
      <c r="AI25" s="730"/>
      <c r="AJ25" s="730"/>
      <c r="AK25" s="730"/>
      <c r="AL25" s="763">
        <f t="shared" si="31"/>
        <v>0</v>
      </c>
      <c r="AM25" s="746">
        <f t="shared" si="32"/>
        <v>0</v>
      </c>
      <c r="AN25" s="113">
        <v>0</v>
      </c>
      <c r="AO25" s="89"/>
      <c r="AP25" s="89">
        <v>82.822000000000003</v>
      </c>
      <c r="AQ25" s="130">
        <f t="shared" si="16"/>
        <v>82.822000000000003</v>
      </c>
      <c r="AR25" s="136">
        <v>84.64</v>
      </c>
      <c r="AS25" s="89">
        <v>873.28</v>
      </c>
      <c r="AT25" s="89"/>
      <c r="AU25" s="130">
        <f t="shared" si="33"/>
        <v>957.92</v>
      </c>
      <c r="AV25" s="111">
        <f t="shared" si="34"/>
        <v>1040.742</v>
      </c>
      <c r="AW25" s="113">
        <v>4218.9160000000002</v>
      </c>
      <c r="AX25" s="86">
        <f t="shared" si="46"/>
        <v>0.80212743870418945</v>
      </c>
      <c r="AY25" s="688">
        <f>T25/BD25</f>
        <v>9.3478742554977303E-6</v>
      </c>
      <c r="AZ25" s="689">
        <f t="shared" si="39"/>
        <v>5.3401809954286802E-4</v>
      </c>
      <c r="BA25" s="689">
        <f>AV25/BD25</f>
        <v>9.3478742554977303E-6</v>
      </c>
      <c r="BB25" s="690">
        <f t="shared" si="40"/>
        <v>5.3401809954286802E-4</v>
      </c>
      <c r="BC25" s="90">
        <v>4160.22</v>
      </c>
      <c r="BD25" s="90">
        <v>111334617</v>
      </c>
      <c r="BE25" s="90">
        <v>1948888.9999999991</v>
      </c>
    </row>
    <row r="26" spans="1:57" ht="13.5" customHeight="1" x14ac:dyDescent="0.2">
      <c r="A26" s="168" t="s">
        <v>432</v>
      </c>
      <c r="B26" s="108">
        <f t="shared" ref="B26:I26" si="52">SUM(B27:B31)</f>
        <v>1194.00666</v>
      </c>
      <c r="C26" s="96">
        <f t="shared" si="52"/>
        <v>156</v>
      </c>
      <c r="D26" s="96">
        <f t="shared" si="52"/>
        <v>0</v>
      </c>
      <c r="E26" s="96">
        <f t="shared" si="52"/>
        <v>15653.138077900945</v>
      </c>
      <c r="F26" s="96">
        <f t="shared" si="52"/>
        <v>0</v>
      </c>
      <c r="G26" s="96">
        <f t="shared" si="52"/>
        <v>16</v>
      </c>
      <c r="H26" s="96">
        <f t="shared" si="52"/>
        <v>5.5312400000000004</v>
      </c>
      <c r="I26" s="96">
        <f t="shared" si="52"/>
        <v>0</v>
      </c>
      <c r="J26" s="126">
        <f t="shared" si="24"/>
        <v>17024.675977900944</v>
      </c>
      <c r="K26" s="135">
        <f t="shared" ref="K26:R26" si="53">SUM(K27:K31)</f>
        <v>0</v>
      </c>
      <c r="L26" s="96">
        <f t="shared" si="53"/>
        <v>0</v>
      </c>
      <c r="M26" s="96">
        <f t="shared" si="53"/>
        <v>1643.04934</v>
      </c>
      <c r="N26" s="96">
        <f t="shared" si="53"/>
        <v>1432.4480000000001</v>
      </c>
      <c r="O26" s="96">
        <f t="shared" si="53"/>
        <v>0</v>
      </c>
      <c r="P26" s="96">
        <f t="shared" si="53"/>
        <v>0</v>
      </c>
      <c r="Q26" s="96">
        <f t="shared" si="53"/>
        <v>0</v>
      </c>
      <c r="R26" s="96">
        <f t="shared" si="53"/>
        <v>0</v>
      </c>
      <c r="S26" s="129">
        <f t="shared" si="26"/>
        <v>3075.4973399999999</v>
      </c>
      <c r="T26" s="146">
        <f t="shared" si="29"/>
        <v>20100.173317900946</v>
      </c>
      <c r="U26" s="146">
        <f t="shared" ref="U26:AC26" si="54">SUM(U27:U31)</f>
        <v>111.64206</v>
      </c>
      <c r="V26" s="112">
        <f t="shared" si="54"/>
        <v>73703.110342097803</v>
      </c>
      <c r="W26" s="752">
        <f t="shared" si="54"/>
        <v>2677.0668799999999</v>
      </c>
      <c r="X26" s="734">
        <f t="shared" si="54"/>
        <v>0</v>
      </c>
      <c r="Y26" s="734">
        <f t="shared" si="54"/>
        <v>0</v>
      </c>
      <c r="Z26" s="734">
        <f t="shared" si="54"/>
        <v>0</v>
      </c>
      <c r="AA26" s="734">
        <f t="shared" si="54"/>
        <v>0</v>
      </c>
      <c r="AB26" s="734">
        <f t="shared" si="54"/>
        <v>0</v>
      </c>
      <c r="AC26" s="734">
        <f t="shared" si="54"/>
        <v>0</v>
      </c>
      <c r="AD26" s="762">
        <f t="shared" si="30"/>
        <v>2677.0668799999999</v>
      </c>
      <c r="AE26" s="772">
        <f t="shared" ref="AE26:AL26" si="55">SUM(AE27:AE31)</f>
        <v>0</v>
      </c>
      <c r="AF26" s="734">
        <f t="shared" si="55"/>
        <v>0</v>
      </c>
      <c r="AG26" s="734">
        <f t="shared" si="55"/>
        <v>0</v>
      </c>
      <c r="AH26" s="734">
        <f t="shared" si="55"/>
        <v>0</v>
      </c>
      <c r="AI26" s="734">
        <f t="shared" si="55"/>
        <v>0</v>
      </c>
      <c r="AJ26" s="734">
        <f t="shared" si="55"/>
        <v>0</v>
      </c>
      <c r="AK26" s="734">
        <f t="shared" si="55"/>
        <v>16</v>
      </c>
      <c r="AL26" s="762">
        <f t="shared" si="55"/>
        <v>16</v>
      </c>
      <c r="AM26" s="747">
        <f t="shared" si="32"/>
        <v>2693.0668799999999</v>
      </c>
      <c r="AN26" s="117">
        <f t="shared" ref="AN26:AU26" si="56">SUM(AN27:AN31)</f>
        <v>10403.104336569286</v>
      </c>
      <c r="AO26" s="98">
        <f t="shared" si="56"/>
        <v>6618.775331331658</v>
      </c>
      <c r="AP26" s="98">
        <f t="shared" si="56"/>
        <v>0.58489000000000002</v>
      </c>
      <c r="AQ26" s="129">
        <f t="shared" si="56"/>
        <v>17022.464557900945</v>
      </c>
      <c r="AR26" s="139">
        <f t="shared" si="56"/>
        <v>0</v>
      </c>
      <c r="AS26" s="98">
        <f t="shared" si="56"/>
        <v>273</v>
      </c>
      <c r="AT26" s="98">
        <f t="shared" si="56"/>
        <v>0</v>
      </c>
      <c r="AU26" s="129">
        <f t="shared" si="56"/>
        <v>273</v>
      </c>
      <c r="AV26" s="112">
        <f t="shared" si="34"/>
        <v>17295.464557900945</v>
      </c>
      <c r="AW26" s="117">
        <f>SUM(AW27:AW31)</f>
        <v>69327.406279059578</v>
      </c>
      <c r="AX26" s="97">
        <f t="shared" si="46"/>
        <v>0.77523518573923123</v>
      </c>
      <c r="AY26" s="685">
        <f>T26/BC26</f>
        <v>8.0435956394887299E-3</v>
      </c>
      <c r="AZ26" s="686">
        <f t="shared" si="39"/>
        <v>7.5377252073123807E-4</v>
      </c>
      <c r="BA26" s="686">
        <f>AV26/BC26</f>
        <v>6.9212200860461004E-3</v>
      </c>
      <c r="BB26" s="687">
        <f t="shared" si="40"/>
        <v>6.4859370667298384E-4</v>
      </c>
      <c r="BC26" s="84">
        <f>SUM(BC27:BC31)</f>
        <v>2498904</v>
      </c>
      <c r="BD26" s="84">
        <f>SUM(BD27:BD31)</f>
        <v>0</v>
      </c>
      <c r="BE26" s="84">
        <f>SUM(BE27:BE31)</f>
        <v>26666099.871088002</v>
      </c>
    </row>
    <row r="27" spans="1:57" ht="13.5" customHeight="1" x14ac:dyDescent="0.2">
      <c r="A27" s="56" t="s">
        <v>631</v>
      </c>
      <c r="B27" s="110"/>
      <c r="C27" s="11"/>
      <c r="D27" s="11"/>
      <c r="E27" s="11">
        <v>4105</v>
      </c>
      <c r="F27" s="11"/>
      <c r="G27" s="11"/>
      <c r="H27" s="11"/>
      <c r="I27" s="11"/>
      <c r="J27" s="127">
        <f t="shared" si="24"/>
        <v>4105</v>
      </c>
      <c r="K27" s="136"/>
      <c r="L27" s="89"/>
      <c r="M27" s="89"/>
      <c r="N27" s="89"/>
      <c r="O27" s="89"/>
      <c r="P27" s="89"/>
      <c r="Q27" s="89"/>
      <c r="R27" s="89"/>
      <c r="S27" s="130">
        <f t="shared" si="26"/>
        <v>0</v>
      </c>
      <c r="T27" s="145">
        <f t="shared" si="29"/>
        <v>4105</v>
      </c>
      <c r="U27" s="145">
        <v>0</v>
      </c>
      <c r="V27" s="111">
        <v>46611.667407638146</v>
      </c>
      <c r="W27" s="748"/>
      <c r="X27" s="730"/>
      <c r="Y27" s="730"/>
      <c r="Z27" s="730"/>
      <c r="AA27" s="730"/>
      <c r="AB27" s="730"/>
      <c r="AC27" s="730"/>
      <c r="AD27" s="763">
        <f t="shared" si="30"/>
        <v>0</v>
      </c>
      <c r="AE27" s="769"/>
      <c r="AF27" s="730"/>
      <c r="AG27" s="730"/>
      <c r="AH27" s="730"/>
      <c r="AI27" s="730"/>
      <c r="AJ27" s="730"/>
      <c r="AK27" s="730"/>
      <c r="AL27" s="763">
        <f t="shared" ref="AL27:AL35" si="57">SUM(AE27:AK27)</f>
        <v>0</v>
      </c>
      <c r="AM27" s="746">
        <f t="shared" si="32"/>
        <v>0</v>
      </c>
      <c r="AN27" s="113">
        <v>1792</v>
      </c>
      <c r="AO27" s="89">
        <v>2313</v>
      </c>
      <c r="AP27" s="89"/>
      <c r="AQ27" s="130">
        <f t="shared" ref="AQ27:AQ35" si="58">SUM(AN27:AP27)</f>
        <v>4105</v>
      </c>
      <c r="AR27" s="136"/>
      <c r="AS27" s="89"/>
      <c r="AT27" s="89"/>
      <c r="AU27" s="130">
        <f t="shared" ref="AU27:AU35" si="59">SUM(AR27:AT27)</f>
        <v>0</v>
      </c>
      <c r="AV27" s="111">
        <f t="shared" si="34"/>
        <v>4105</v>
      </c>
      <c r="AW27" s="113">
        <v>50669.406279059578</v>
      </c>
      <c r="AX27" s="86">
        <f t="shared" si="46"/>
        <v>0.92505623923906677</v>
      </c>
      <c r="AY27" s="688">
        <f>T27/BC27</f>
        <v>3.2450592885375495E-3</v>
      </c>
      <c r="AZ27" s="689">
        <f t="shared" si="39"/>
        <v>2.6783664988138436E-4</v>
      </c>
      <c r="BA27" s="689">
        <f>AV27/BC27</f>
        <v>3.2450592885375495E-3</v>
      </c>
      <c r="BB27" s="690">
        <f t="shared" si="40"/>
        <v>2.6783664988138436E-4</v>
      </c>
      <c r="BC27" s="90">
        <v>1265000</v>
      </c>
      <c r="BD27" s="90"/>
      <c r="BE27" s="90">
        <v>15326505.919999983</v>
      </c>
    </row>
    <row r="28" spans="1:57" ht="13.5" customHeight="1" x14ac:dyDescent="0.2">
      <c r="A28" s="56" t="s">
        <v>632</v>
      </c>
      <c r="B28" s="110"/>
      <c r="C28" s="11"/>
      <c r="D28" s="11"/>
      <c r="E28" s="11">
        <v>10856.843457900944</v>
      </c>
      <c r="F28" s="11"/>
      <c r="G28" s="11"/>
      <c r="H28" s="11"/>
      <c r="I28" s="11"/>
      <c r="J28" s="127">
        <f t="shared" si="24"/>
        <v>10856.843457900944</v>
      </c>
      <c r="K28" s="136"/>
      <c r="L28" s="89"/>
      <c r="M28" s="89"/>
      <c r="N28" s="89"/>
      <c r="O28" s="89"/>
      <c r="P28" s="89"/>
      <c r="Q28" s="89"/>
      <c r="R28" s="89"/>
      <c r="S28" s="130">
        <f t="shared" si="26"/>
        <v>0</v>
      </c>
      <c r="T28" s="145">
        <f t="shared" si="29"/>
        <v>10856.843457900944</v>
      </c>
      <c r="U28" s="145">
        <v>0</v>
      </c>
      <c r="V28" s="111">
        <v>26303.709074459661</v>
      </c>
      <c r="W28" s="748"/>
      <c r="X28" s="730"/>
      <c r="Y28" s="730"/>
      <c r="Z28" s="730"/>
      <c r="AA28" s="730"/>
      <c r="AB28" s="730"/>
      <c r="AC28" s="730"/>
      <c r="AD28" s="763">
        <f t="shared" si="30"/>
        <v>0</v>
      </c>
      <c r="AE28" s="769"/>
      <c r="AF28" s="730"/>
      <c r="AG28" s="730"/>
      <c r="AH28" s="730"/>
      <c r="AI28" s="730"/>
      <c r="AJ28" s="730"/>
      <c r="AK28" s="730"/>
      <c r="AL28" s="763">
        <f t="shared" si="57"/>
        <v>0</v>
      </c>
      <c r="AM28" s="746">
        <f t="shared" si="32"/>
        <v>0</v>
      </c>
      <c r="AN28" s="113">
        <v>6551.0681265692856</v>
      </c>
      <c r="AO28" s="89">
        <v>4305.775331331658</v>
      </c>
      <c r="AP28" s="89"/>
      <c r="AQ28" s="130">
        <f t="shared" si="58"/>
        <v>10856.843457900944</v>
      </c>
      <c r="AR28" s="136"/>
      <c r="AS28" s="89"/>
      <c r="AT28" s="89"/>
      <c r="AU28" s="130">
        <f t="shared" si="59"/>
        <v>0</v>
      </c>
      <c r="AV28" s="111">
        <f t="shared" si="34"/>
        <v>10856.843457900944</v>
      </c>
      <c r="AW28" s="113">
        <v>17805</v>
      </c>
      <c r="AX28" s="86">
        <f t="shared" si="46"/>
        <v>0.6212091705180206</v>
      </c>
      <c r="AY28" s="688">
        <f>T28/BC28</f>
        <v>1.3002207734013107E-2</v>
      </c>
      <c r="AZ28" s="689">
        <f t="shared" si="39"/>
        <v>1.082082310195912E-3</v>
      </c>
      <c r="BA28" s="689">
        <f>AV28/BC28</f>
        <v>1.3002207734013107E-2</v>
      </c>
      <c r="BB28" s="690">
        <f t="shared" si="40"/>
        <v>1.082082310195912E-3</v>
      </c>
      <c r="BC28" s="90">
        <v>835000</v>
      </c>
      <c r="BD28" s="90"/>
      <c r="BE28" s="90">
        <v>10033288.00000002</v>
      </c>
    </row>
    <row r="29" spans="1:57" ht="13.5" customHeight="1" x14ac:dyDescent="0.2">
      <c r="A29" s="56" t="s">
        <v>634</v>
      </c>
      <c r="B29" s="110"/>
      <c r="C29" s="11"/>
      <c r="D29" s="11"/>
      <c r="E29" s="11">
        <v>99</v>
      </c>
      <c r="F29" s="11"/>
      <c r="G29" s="11">
        <v>16</v>
      </c>
      <c r="H29" s="11"/>
      <c r="I29" s="11"/>
      <c r="J29" s="127">
        <f t="shared" si="24"/>
        <v>115</v>
      </c>
      <c r="K29" s="136"/>
      <c r="L29" s="89"/>
      <c r="M29" s="89">
        <v>1465</v>
      </c>
      <c r="N29" s="89"/>
      <c r="O29" s="89"/>
      <c r="P29" s="89"/>
      <c r="Q29" s="89"/>
      <c r="R29" s="89"/>
      <c r="S29" s="130">
        <f t="shared" si="26"/>
        <v>1465</v>
      </c>
      <c r="T29" s="145">
        <f t="shared" si="29"/>
        <v>1580</v>
      </c>
      <c r="U29" s="145"/>
      <c r="V29" s="111">
        <v>359</v>
      </c>
      <c r="W29" s="748"/>
      <c r="X29" s="730"/>
      <c r="Y29" s="730"/>
      <c r="Z29" s="730"/>
      <c r="AA29" s="730"/>
      <c r="AB29" s="730"/>
      <c r="AC29" s="730"/>
      <c r="AD29" s="763">
        <f>SUM(W29:AC29)</f>
        <v>0</v>
      </c>
      <c r="AE29" s="769"/>
      <c r="AF29" s="730"/>
      <c r="AG29" s="730"/>
      <c r="AH29" s="730"/>
      <c r="AI29" s="730"/>
      <c r="AJ29" s="730"/>
      <c r="AK29" s="730">
        <v>16</v>
      </c>
      <c r="AL29" s="763">
        <f>SUM(AE29:AK29)</f>
        <v>16</v>
      </c>
      <c r="AM29" s="746">
        <f>AL29+AD29</f>
        <v>16</v>
      </c>
      <c r="AN29" s="113">
        <v>1564</v>
      </c>
      <c r="AO29" s="89"/>
      <c r="AP29" s="89"/>
      <c r="AQ29" s="130">
        <f>SUM(AN29:AP29)</f>
        <v>1564</v>
      </c>
      <c r="AR29" s="136"/>
      <c r="AS29" s="89"/>
      <c r="AT29" s="89"/>
      <c r="AU29" s="130">
        <f>SUM(AR29:AT29)</f>
        <v>0</v>
      </c>
      <c r="AV29" s="111">
        <f>AU29+AQ29</f>
        <v>1564</v>
      </c>
      <c r="AW29" s="113">
        <v>0</v>
      </c>
      <c r="AX29" s="86">
        <f t="shared" si="46"/>
        <v>0</v>
      </c>
      <c r="AY29" s="688">
        <f>T29/BC29</f>
        <v>4.2930582877761959E-3</v>
      </c>
      <c r="AZ29" s="689">
        <f t="shared" si="39"/>
        <v>1.9527231356809367E-3</v>
      </c>
      <c r="BA29" s="689">
        <f>AV29/BC29</f>
        <v>4.2495842797987153E-3</v>
      </c>
      <c r="BB29" s="690">
        <f t="shared" si="40"/>
        <v>1.9329487241803703E-3</v>
      </c>
      <c r="BC29" s="90">
        <v>368036</v>
      </c>
      <c r="BD29" s="90"/>
      <c r="BE29" s="90">
        <v>809126.48144</v>
      </c>
    </row>
    <row r="30" spans="1:57" ht="13.5" customHeight="1" x14ac:dyDescent="0.2">
      <c r="A30" s="56" t="s">
        <v>635</v>
      </c>
      <c r="B30" s="110">
        <v>418</v>
      </c>
      <c r="C30" s="11">
        <v>156</v>
      </c>
      <c r="D30" s="11"/>
      <c r="E30" s="11">
        <v>3</v>
      </c>
      <c r="F30" s="11"/>
      <c r="G30" s="11"/>
      <c r="H30" s="11"/>
      <c r="I30" s="11"/>
      <c r="J30" s="127">
        <f t="shared" si="24"/>
        <v>577</v>
      </c>
      <c r="K30" s="136"/>
      <c r="L30" s="89"/>
      <c r="M30" s="11">
        <v>178</v>
      </c>
      <c r="N30" s="89"/>
      <c r="O30" s="89"/>
      <c r="P30" s="89"/>
      <c r="Q30" s="89"/>
      <c r="R30" s="89"/>
      <c r="S30" s="130">
        <f t="shared" si="26"/>
        <v>178</v>
      </c>
      <c r="T30" s="145">
        <f t="shared" si="29"/>
        <v>755</v>
      </c>
      <c r="U30" s="145">
        <v>0</v>
      </c>
      <c r="V30" s="111">
        <v>0</v>
      </c>
      <c r="W30" s="748">
        <v>0</v>
      </c>
      <c r="X30" s="730">
        <v>0</v>
      </c>
      <c r="Y30" s="730">
        <v>0</v>
      </c>
      <c r="Z30" s="730">
        <v>0</v>
      </c>
      <c r="AA30" s="730">
        <v>0</v>
      </c>
      <c r="AB30" s="730">
        <v>0</v>
      </c>
      <c r="AC30" s="730">
        <v>0</v>
      </c>
      <c r="AD30" s="763">
        <f t="shared" si="30"/>
        <v>0</v>
      </c>
      <c r="AE30" s="769">
        <v>0</v>
      </c>
      <c r="AF30" s="730">
        <v>0</v>
      </c>
      <c r="AG30" s="730">
        <v>0</v>
      </c>
      <c r="AH30" s="730">
        <v>0</v>
      </c>
      <c r="AI30" s="730">
        <v>0</v>
      </c>
      <c r="AJ30" s="730">
        <v>0</v>
      </c>
      <c r="AK30" s="730">
        <v>0</v>
      </c>
      <c r="AL30" s="763">
        <f t="shared" si="57"/>
        <v>0</v>
      </c>
      <c r="AM30" s="746">
        <f t="shared" si="32"/>
        <v>0</v>
      </c>
      <c r="AN30" s="113">
        <v>482</v>
      </c>
      <c r="AO30" s="89"/>
      <c r="AP30" s="89"/>
      <c r="AQ30" s="130">
        <f t="shared" si="58"/>
        <v>482</v>
      </c>
      <c r="AR30" s="136"/>
      <c r="AS30" s="89">
        <v>273</v>
      </c>
      <c r="AT30" s="89"/>
      <c r="AU30" s="130">
        <f t="shared" si="59"/>
        <v>273</v>
      </c>
      <c r="AV30" s="111">
        <f t="shared" si="34"/>
        <v>755</v>
      </c>
      <c r="AW30" s="113">
        <v>853</v>
      </c>
      <c r="AX30" s="86">
        <f t="shared" si="46"/>
        <v>0.53047263681592038</v>
      </c>
      <c r="AY30" s="688">
        <f>T30/BC30</f>
        <v>2.4458986652844371E-2</v>
      </c>
      <c r="AZ30" s="689">
        <f t="shared" si="39"/>
        <v>1.5185663248213673E-3</v>
      </c>
      <c r="BA30" s="689">
        <f>AV30/BC30</f>
        <v>2.4458986652844371E-2</v>
      </c>
      <c r="BB30" s="690">
        <f t="shared" si="40"/>
        <v>1.5185663248213673E-3</v>
      </c>
      <c r="BC30" s="90">
        <v>30868</v>
      </c>
      <c r="BD30" s="90"/>
      <c r="BE30" s="90">
        <v>497179.46964800003</v>
      </c>
    </row>
    <row r="31" spans="1:57" ht="13.5" customHeight="1" x14ac:dyDescent="0.2">
      <c r="A31" s="56" t="s">
        <v>427</v>
      </c>
      <c r="B31" s="110">
        <v>776.00666000000001</v>
      </c>
      <c r="C31" s="11">
        <v>0</v>
      </c>
      <c r="D31" s="11">
        <v>0</v>
      </c>
      <c r="E31" s="11">
        <v>589.29462000000001</v>
      </c>
      <c r="F31" s="11">
        <v>0</v>
      </c>
      <c r="G31" s="11">
        <v>0</v>
      </c>
      <c r="H31" s="11">
        <v>5.5312400000000004</v>
      </c>
      <c r="I31" s="11">
        <v>0</v>
      </c>
      <c r="J31" s="127">
        <v>1370.8325199999999</v>
      </c>
      <c r="K31" s="137">
        <v>0</v>
      </c>
      <c r="L31" s="11">
        <v>0</v>
      </c>
      <c r="M31" s="11">
        <v>4.9340000000000002E-2</v>
      </c>
      <c r="N31" s="11">
        <v>1432.4480000000001</v>
      </c>
      <c r="O31" s="11">
        <v>0</v>
      </c>
      <c r="P31" s="11">
        <v>0</v>
      </c>
      <c r="Q31" s="11">
        <v>0</v>
      </c>
      <c r="R31" s="11">
        <v>0</v>
      </c>
      <c r="S31" s="127">
        <v>1432.4973400000001</v>
      </c>
      <c r="T31" s="147">
        <v>2803.3298599999998</v>
      </c>
      <c r="U31" s="147">
        <v>111.64206</v>
      </c>
      <c r="V31" s="114">
        <v>428.73385999999999</v>
      </c>
      <c r="W31" s="745">
        <v>2677.0668799999999</v>
      </c>
      <c r="X31" s="722">
        <v>0</v>
      </c>
      <c r="Y31" s="722">
        <v>0</v>
      </c>
      <c r="Z31" s="722">
        <v>0</v>
      </c>
      <c r="AA31" s="722">
        <v>0</v>
      </c>
      <c r="AB31" s="722">
        <v>0</v>
      </c>
      <c r="AC31" s="722">
        <v>0</v>
      </c>
      <c r="AD31" s="760">
        <v>2677.0668799999999</v>
      </c>
      <c r="AE31" s="770">
        <v>0</v>
      </c>
      <c r="AF31" s="722">
        <v>0</v>
      </c>
      <c r="AG31" s="722">
        <v>0</v>
      </c>
      <c r="AH31" s="722">
        <v>0</v>
      </c>
      <c r="AI31" s="722">
        <v>0</v>
      </c>
      <c r="AJ31" s="722">
        <v>0</v>
      </c>
      <c r="AK31" s="722">
        <v>0</v>
      </c>
      <c r="AL31" s="760">
        <v>0</v>
      </c>
      <c r="AM31" s="749">
        <v>2677.0668799999999</v>
      </c>
      <c r="AN31" s="110">
        <v>14.036210000000001</v>
      </c>
      <c r="AO31" s="11">
        <v>0</v>
      </c>
      <c r="AP31" s="11">
        <v>0.58489000000000002</v>
      </c>
      <c r="AQ31" s="127">
        <v>14.6211</v>
      </c>
      <c r="AR31" s="137">
        <v>0</v>
      </c>
      <c r="AS31" s="11">
        <v>0</v>
      </c>
      <c r="AT31" s="11">
        <v>0</v>
      </c>
      <c r="AU31" s="127">
        <v>0</v>
      </c>
      <c r="AV31" s="114">
        <v>14.6211</v>
      </c>
      <c r="AW31" s="110">
        <v>0</v>
      </c>
      <c r="AX31" s="86"/>
      <c r="AY31" s="688"/>
      <c r="AZ31" s="689"/>
      <c r="BA31" s="689"/>
      <c r="BB31" s="690"/>
      <c r="BC31" s="90"/>
      <c r="BD31" s="90"/>
      <c r="BE31" s="90"/>
    </row>
    <row r="32" spans="1:57" ht="13.5" customHeight="1" x14ac:dyDescent="0.2">
      <c r="A32" s="168" t="s">
        <v>448</v>
      </c>
      <c r="B32" s="108">
        <f t="shared" ref="B32:I32" si="60">B33</f>
        <v>7243</v>
      </c>
      <c r="C32" s="96">
        <f t="shared" si="60"/>
        <v>3657</v>
      </c>
      <c r="D32" s="96">
        <f t="shared" si="60"/>
        <v>0</v>
      </c>
      <c r="E32" s="96">
        <f t="shared" si="60"/>
        <v>0</v>
      </c>
      <c r="F32" s="96">
        <f t="shared" si="60"/>
        <v>0</v>
      </c>
      <c r="G32" s="96">
        <f t="shared" si="60"/>
        <v>0</v>
      </c>
      <c r="H32" s="96">
        <f t="shared" si="60"/>
        <v>0</v>
      </c>
      <c r="I32" s="96">
        <f t="shared" si="60"/>
        <v>0</v>
      </c>
      <c r="J32" s="126">
        <f>SUM(B32:I32)</f>
        <v>10900</v>
      </c>
      <c r="K32" s="135">
        <f t="shared" ref="K32:R32" si="61">K33</f>
        <v>0</v>
      </c>
      <c r="L32" s="96">
        <f t="shared" si="61"/>
        <v>0</v>
      </c>
      <c r="M32" s="96">
        <f t="shared" si="61"/>
        <v>702</v>
      </c>
      <c r="N32" s="96">
        <f t="shared" si="61"/>
        <v>0</v>
      </c>
      <c r="O32" s="96">
        <f t="shared" si="61"/>
        <v>0</v>
      </c>
      <c r="P32" s="96">
        <f t="shared" si="61"/>
        <v>0</v>
      </c>
      <c r="Q32" s="96">
        <f t="shared" si="61"/>
        <v>0</v>
      </c>
      <c r="R32" s="96">
        <f t="shared" si="61"/>
        <v>0</v>
      </c>
      <c r="S32" s="129">
        <f>SUM(K32:R32)</f>
        <v>702</v>
      </c>
      <c r="T32" s="146">
        <f t="shared" ref="T32:AC32" si="62">T33</f>
        <v>11602</v>
      </c>
      <c r="U32" s="146">
        <f>U33</f>
        <v>0</v>
      </c>
      <c r="V32" s="112">
        <f>V33</f>
        <v>32964</v>
      </c>
      <c r="W32" s="752">
        <f t="shared" si="62"/>
        <v>0</v>
      </c>
      <c r="X32" s="734">
        <f t="shared" si="62"/>
        <v>0</v>
      </c>
      <c r="Y32" s="734">
        <f t="shared" si="62"/>
        <v>0</v>
      </c>
      <c r="Z32" s="734">
        <f t="shared" si="62"/>
        <v>0</v>
      </c>
      <c r="AA32" s="734">
        <f t="shared" si="62"/>
        <v>0</v>
      </c>
      <c r="AB32" s="734">
        <f t="shared" si="62"/>
        <v>0</v>
      </c>
      <c r="AC32" s="734">
        <f t="shared" si="62"/>
        <v>0</v>
      </c>
      <c r="AD32" s="762">
        <f t="shared" si="30"/>
        <v>0</v>
      </c>
      <c r="AE32" s="772">
        <f t="shared" ref="AE32:AK32" si="63">AE33</f>
        <v>0</v>
      </c>
      <c r="AF32" s="734">
        <f t="shared" si="63"/>
        <v>0</v>
      </c>
      <c r="AG32" s="734">
        <f t="shared" si="63"/>
        <v>691</v>
      </c>
      <c r="AH32" s="734">
        <f t="shared" si="63"/>
        <v>0</v>
      </c>
      <c r="AI32" s="734">
        <f t="shared" si="63"/>
        <v>0</v>
      </c>
      <c r="AJ32" s="734">
        <f t="shared" si="63"/>
        <v>0</v>
      </c>
      <c r="AK32" s="734">
        <f t="shared" si="63"/>
        <v>0</v>
      </c>
      <c r="AL32" s="762">
        <f t="shared" si="57"/>
        <v>691</v>
      </c>
      <c r="AM32" s="747">
        <f t="shared" si="32"/>
        <v>691</v>
      </c>
      <c r="AN32" s="117">
        <f>AN33</f>
        <v>0</v>
      </c>
      <c r="AO32" s="98">
        <f>AO33</f>
        <v>0</v>
      </c>
      <c r="AP32" s="98">
        <f>AP33</f>
        <v>0</v>
      </c>
      <c r="AQ32" s="129">
        <f t="shared" si="58"/>
        <v>0</v>
      </c>
      <c r="AR32" s="139">
        <f>AR33</f>
        <v>6392</v>
      </c>
      <c r="AS32" s="98">
        <f>AS33</f>
        <v>4519</v>
      </c>
      <c r="AT32" s="98">
        <f>AT33</f>
        <v>0</v>
      </c>
      <c r="AU32" s="129">
        <f t="shared" si="59"/>
        <v>10911</v>
      </c>
      <c r="AV32" s="112">
        <f t="shared" si="34"/>
        <v>10911</v>
      </c>
      <c r="AW32" s="117">
        <f>AW33</f>
        <v>53329</v>
      </c>
      <c r="AX32" s="97">
        <f>(AW32)/(AW32+T32)</f>
        <v>0.82131801450770814</v>
      </c>
      <c r="AY32" s="685">
        <f>T32/BD32</f>
        <v>5.1864103710326328E-5</v>
      </c>
      <c r="AZ32" s="686">
        <f t="shared" ref="AZ32:AZ37" si="64">T32/BE32</f>
        <v>5.3070717867350259E-4</v>
      </c>
      <c r="BA32" s="686">
        <f>AV32/BD32</f>
        <v>4.8775145283862313E-5</v>
      </c>
      <c r="BB32" s="687">
        <f t="shared" ref="BB32:BB37" si="65">AV32/BE32</f>
        <v>4.9909895074181916E-4</v>
      </c>
      <c r="BC32" s="84">
        <f t="shared" ref="BC32:BE32" si="66">BC33</f>
        <v>0</v>
      </c>
      <c r="BD32" s="84">
        <f t="shared" si="66"/>
        <v>223700000</v>
      </c>
      <c r="BE32" s="84">
        <f t="shared" si="66"/>
        <v>21861396.390000012</v>
      </c>
    </row>
    <row r="33" spans="1:59" ht="13.5" customHeight="1" x14ac:dyDescent="0.2">
      <c r="A33" s="56" t="s">
        <v>449</v>
      </c>
      <c r="B33" s="110">
        <v>7243</v>
      </c>
      <c r="C33" s="11">
        <v>3657</v>
      </c>
      <c r="D33" s="11"/>
      <c r="E33" s="11"/>
      <c r="F33" s="11"/>
      <c r="G33" s="11"/>
      <c r="H33" s="11"/>
      <c r="I33" s="11"/>
      <c r="J33" s="127">
        <f>SUM(B33:I33)</f>
        <v>10900</v>
      </c>
      <c r="K33" s="136"/>
      <c r="L33" s="89"/>
      <c r="M33" s="89">
        <v>702</v>
      </c>
      <c r="N33" s="89"/>
      <c r="O33" s="89"/>
      <c r="P33" s="89"/>
      <c r="Q33" s="89"/>
      <c r="R33" s="89"/>
      <c r="S33" s="130">
        <f>SUM(K33:R33)</f>
        <v>702</v>
      </c>
      <c r="T33" s="145">
        <f>S33+J33</f>
        <v>11602</v>
      </c>
      <c r="U33" s="145">
        <v>0</v>
      </c>
      <c r="V33" s="111">
        <v>32964</v>
      </c>
      <c r="W33" s="748"/>
      <c r="X33" s="730"/>
      <c r="Y33" s="730"/>
      <c r="Z33" s="730"/>
      <c r="AA33" s="730"/>
      <c r="AB33" s="730"/>
      <c r="AC33" s="730"/>
      <c r="AD33" s="763">
        <f t="shared" si="30"/>
        <v>0</v>
      </c>
      <c r="AE33" s="769"/>
      <c r="AF33" s="730"/>
      <c r="AG33" s="730">
        <v>691</v>
      </c>
      <c r="AH33" s="730"/>
      <c r="AI33" s="730"/>
      <c r="AJ33" s="730"/>
      <c r="AK33" s="730"/>
      <c r="AL33" s="763">
        <f t="shared" si="57"/>
        <v>691</v>
      </c>
      <c r="AM33" s="746">
        <f t="shared" si="32"/>
        <v>691</v>
      </c>
      <c r="AN33" s="113"/>
      <c r="AO33" s="89"/>
      <c r="AP33" s="89"/>
      <c r="AQ33" s="130">
        <f t="shared" si="58"/>
        <v>0</v>
      </c>
      <c r="AR33" s="136">
        <v>6392</v>
      </c>
      <c r="AS33" s="89">
        <v>4519</v>
      </c>
      <c r="AT33" s="89"/>
      <c r="AU33" s="130">
        <f t="shared" si="59"/>
        <v>10911</v>
      </c>
      <c r="AV33" s="111">
        <f t="shared" si="34"/>
        <v>10911</v>
      </c>
      <c r="AW33" s="113">
        <v>53329</v>
      </c>
      <c r="AX33" s="86">
        <f>(AW33)/(AW33+T33)</f>
        <v>0.82131801450770814</v>
      </c>
      <c r="AY33" s="688">
        <f>T33/BD33</f>
        <v>5.1864103710326328E-5</v>
      </c>
      <c r="AZ33" s="689">
        <f t="shared" si="64"/>
        <v>5.3070717867350259E-4</v>
      </c>
      <c r="BA33" s="689">
        <f>AV33/BD33</f>
        <v>4.8775145283862313E-5</v>
      </c>
      <c r="BB33" s="690">
        <f t="shared" si="65"/>
        <v>4.9909895074181916E-4</v>
      </c>
      <c r="BC33" s="90"/>
      <c r="BD33" s="90">
        <v>223700000</v>
      </c>
      <c r="BE33" s="90">
        <v>21861396.390000012</v>
      </c>
    </row>
    <row r="34" spans="1:59" ht="13.5" customHeight="1" x14ac:dyDescent="0.2">
      <c r="A34" s="168" t="s">
        <v>450</v>
      </c>
      <c r="B34" s="108">
        <f t="shared" ref="B34:I34" si="67">B35</f>
        <v>26934.620119999992</v>
      </c>
      <c r="C34" s="96">
        <f t="shared" si="67"/>
        <v>21900.856879999999</v>
      </c>
      <c r="D34" s="96">
        <f t="shared" si="67"/>
        <v>0</v>
      </c>
      <c r="E34" s="96">
        <f t="shared" si="67"/>
        <v>0</v>
      </c>
      <c r="F34" s="96">
        <f t="shared" si="67"/>
        <v>0</v>
      </c>
      <c r="G34" s="96">
        <f t="shared" si="67"/>
        <v>0</v>
      </c>
      <c r="H34" s="96">
        <f t="shared" si="67"/>
        <v>0</v>
      </c>
      <c r="I34" s="96">
        <f t="shared" si="67"/>
        <v>0</v>
      </c>
      <c r="J34" s="126">
        <f>SUM(B34:I34)</f>
        <v>48835.476999999992</v>
      </c>
      <c r="K34" s="135">
        <f t="shared" ref="K34:R34" si="68">K35</f>
        <v>0</v>
      </c>
      <c r="L34" s="96">
        <f t="shared" si="68"/>
        <v>0</v>
      </c>
      <c r="M34" s="96">
        <f t="shared" si="68"/>
        <v>0</v>
      </c>
      <c r="N34" s="96">
        <f t="shared" si="68"/>
        <v>0</v>
      </c>
      <c r="O34" s="96">
        <f t="shared" si="68"/>
        <v>0</v>
      </c>
      <c r="P34" s="96">
        <f t="shared" si="68"/>
        <v>0</v>
      </c>
      <c r="Q34" s="96">
        <f t="shared" si="68"/>
        <v>0</v>
      </c>
      <c r="R34" s="96">
        <f t="shared" si="68"/>
        <v>0</v>
      </c>
      <c r="S34" s="129">
        <f>SUM(K34:R34)</f>
        <v>0</v>
      </c>
      <c r="T34" s="146">
        <f>S34+J34</f>
        <v>48835.476999999992</v>
      </c>
      <c r="U34" s="146">
        <f>U35</f>
        <v>0</v>
      </c>
      <c r="V34" s="112">
        <f>V35</f>
        <v>0</v>
      </c>
      <c r="W34" s="752">
        <v>0</v>
      </c>
      <c r="X34" s="734">
        <f t="shared" ref="X34:AC34" si="69">X35</f>
        <v>0</v>
      </c>
      <c r="Y34" s="734">
        <f t="shared" si="69"/>
        <v>0</v>
      </c>
      <c r="Z34" s="734">
        <f t="shared" si="69"/>
        <v>0</v>
      </c>
      <c r="AA34" s="734">
        <f t="shared" si="69"/>
        <v>0</v>
      </c>
      <c r="AB34" s="734">
        <f t="shared" si="69"/>
        <v>0</v>
      </c>
      <c r="AC34" s="734">
        <f t="shared" si="69"/>
        <v>0</v>
      </c>
      <c r="AD34" s="762">
        <f t="shared" si="30"/>
        <v>0</v>
      </c>
      <c r="AE34" s="772">
        <f>AE35</f>
        <v>48757.7</v>
      </c>
      <c r="AF34" s="734">
        <f t="shared" ref="AF34:AK34" si="70">SUM(AF35)</f>
        <v>0</v>
      </c>
      <c r="AG34" s="734">
        <f t="shared" si="70"/>
        <v>0</v>
      </c>
      <c r="AH34" s="734">
        <f t="shared" si="70"/>
        <v>0</v>
      </c>
      <c r="AI34" s="734">
        <f t="shared" si="70"/>
        <v>0</v>
      </c>
      <c r="AJ34" s="734">
        <f t="shared" si="70"/>
        <v>0</v>
      </c>
      <c r="AK34" s="734">
        <f t="shared" si="70"/>
        <v>0</v>
      </c>
      <c r="AL34" s="762">
        <f t="shared" si="57"/>
        <v>48757.7</v>
      </c>
      <c r="AM34" s="747">
        <f t="shared" si="32"/>
        <v>48757.7</v>
      </c>
      <c r="AN34" s="117">
        <f>SUM(AN35)</f>
        <v>0</v>
      </c>
      <c r="AO34" s="98">
        <f>SUM(AO35)</f>
        <v>0</v>
      </c>
      <c r="AP34" s="98">
        <f>SUM(AP35)</f>
        <v>0</v>
      </c>
      <c r="AQ34" s="129">
        <f t="shared" si="58"/>
        <v>0</v>
      </c>
      <c r="AR34" s="139">
        <f>SUM(AR35)</f>
        <v>2.2000000000000002</v>
      </c>
      <c r="AS34" s="98">
        <f>SUM(AS35)</f>
        <v>0</v>
      </c>
      <c r="AT34" s="98">
        <f>SUM(AT35)</f>
        <v>75.576999999999998</v>
      </c>
      <c r="AU34" s="129">
        <f t="shared" si="59"/>
        <v>77.777000000000001</v>
      </c>
      <c r="AV34" s="112">
        <f t="shared" si="34"/>
        <v>77.777000000000001</v>
      </c>
      <c r="AW34" s="117">
        <v>0</v>
      </c>
      <c r="AX34" s="97">
        <v>0</v>
      </c>
      <c r="AY34" s="685">
        <f>T34/BC34</f>
        <v>0.11384291353324097</v>
      </c>
      <c r="AZ34" s="686">
        <f t="shared" si="64"/>
        <v>1.0848784286022119E-2</v>
      </c>
      <c r="BA34" s="686">
        <f>AV34/BC34</f>
        <v>1.8130999899673109E-4</v>
      </c>
      <c r="BB34" s="687">
        <f t="shared" si="65"/>
        <v>1.7278133587472538E-5</v>
      </c>
      <c r="BC34" s="84">
        <f t="shared" ref="BC34:BE34" si="71">BC35</f>
        <v>428972.48044991866</v>
      </c>
      <c r="BD34" s="84">
        <f t="shared" si="71"/>
        <v>0</v>
      </c>
      <c r="BE34" s="84">
        <f t="shared" si="71"/>
        <v>4501470</v>
      </c>
    </row>
    <row r="35" spans="1:59" ht="13.5" customHeight="1" x14ac:dyDescent="0.2">
      <c r="A35" s="56" t="s">
        <v>451</v>
      </c>
      <c r="B35" s="113">
        <v>26934.620119999992</v>
      </c>
      <c r="C35" s="11">
        <v>21900.856879999999</v>
      </c>
      <c r="D35" s="11"/>
      <c r="E35" s="11"/>
      <c r="F35" s="11"/>
      <c r="G35" s="11"/>
      <c r="H35" s="11"/>
      <c r="I35" s="11"/>
      <c r="J35" s="127">
        <f>SUM(B35:I35)</f>
        <v>48835.476999999992</v>
      </c>
      <c r="K35" s="136"/>
      <c r="L35" s="89"/>
      <c r="M35" s="89"/>
      <c r="N35" s="89"/>
      <c r="O35" s="89"/>
      <c r="P35" s="89"/>
      <c r="Q35" s="89"/>
      <c r="R35" s="89"/>
      <c r="S35" s="130">
        <f>SUM(K35:R35)</f>
        <v>0</v>
      </c>
      <c r="T35" s="145">
        <f>S35+J35</f>
        <v>48835.476999999992</v>
      </c>
      <c r="U35" s="145">
        <v>0</v>
      </c>
      <c r="V35" s="111"/>
      <c r="W35" s="748"/>
      <c r="X35" s="730"/>
      <c r="Y35" s="730"/>
      <c r="Z35" s="730"/>
      <c r="AA35" s="730"/>
      <c r="AB35" s="730"/>
      <c r="AC35" s="730"/>
      <c r="AD35" s="763">
        <f t="shared" si="30"/>
        <v>0</v>
      </c>
      <c r="AE35" s="769">
        <v>48757.7</v>
      </c>
      <c r="AF35" s="730"/>
      <c r="AG35" s="730"/>
      <c r="AH35" s="730"/>
      <c r="AI35" s="730"/>
      <c r="AJ35" s="730"/>
      <c r="AK35" s="730"/>
      <c r="AL35" s="763">
        <f t="shared" si="57"/>
        <v>48757.7</v>
      </c>
      <c r="AM35" s="746">
        <f t="shared" si="32"/>
        <v>48757.7</v>
      </c>
      <c r="AN35" s="113"/>
      <c r="AO35" s="89"/>
      <c r="AP35" s="89"/>
      <c r="AQ35" s="130">
        <f t="shared" si="58"/>
        <v>0</v>
      </c>
      <c r="AR35" s="136">
        <v>2.2000000000000002</v>
      </c>
      <c r="AS35" s="89"/>
      <c r="AT35" s="89">
        <v>75.576999999999998</v>
      </c>
      <c r="AU35" s="130">
        <f t="shared" si="59"/>
        <v>77.777000000000001</v>
      </c>
      <c r="AV35" s="111">
        <f t="shared" si="34"/>
        <v>77.777000000000001</v>
      </c>
      <c r="AW35" s="113">
        <v>0</v>
      </c>
      <c r="AX35" s="86">
        <f t="shared" ref="AX35:AX43" si="72">(AW35)/(AW35+T35)</f>
        <v>0</v>
      </c>
      <c r="AY35" s="688">
        <f>T35/BC35</f>
        <v>0.11384291353324097</v>
      </c>
      <c r="AZ35" s="689">
        <f t="shared" si="64"/>
        <v>1.0848784286022119E-2</v>
      </c>
      <c r="BA35" s="689">
        <f>AV35/BC35</f>
        <v>1.8130999899673109E-4</v>
      </c>
      <c r="BB35" s="690">
        <f t="shared" si="65"/>
        <v>1.7278133587472538E-5</v>
      </c>
      <c r="BC35" s="90">
        <v>428972.48044991866</v>
      </c>
      <c r="BD35" s="84"/>
      <c r="BE35" s="90">
        <v>4501470</v>
      </c>
    </row>
    <row r="36" spans="1:59" ht="13.5" customHeight="1" x14ac:dyDescent="0.2">
      <c r="A36" s="170" t="s">
        <v>452</v>
      </c>
      <c r="B36" s="115">
        <f t="shared" ref="B36:AU36" si="73">B37+B40+B42</f>
        <v>46659.412509820846</v>
      </c>
      <c r="C36" s="99">
        <f t="shared" si="73"/>
        <v>10074.254434140494</v>
      </c>
      <c r="D36" s="99">
        <f t="shared" si="73"/>
        <v>0</v>
      </c>
      <c r="E36" s="99">
        <f t="shared" si="73"/>
        <v>2257.8981987033176</v>
      </c>
      <c r="F36" s="99">
        <f t="shared" si="73"/>
        <v>1750.1271704333335</v>
      </c>
      <c r="G36" s="99">
        <f t="shared" si="73"/>
        <v>0</v>
      </c>
      <c r="H36" s="99">
        <f t="shared" si="73"/>
        <v>0</v>
      </c>
      <c r="I36" s="99">
        <f t="shared" si="73"/>
        <v>0</v>
      </c>
      <c r="J36" s="128">
        <f t="shared" si="73"/>
        <v>60741.692313097999</v>
      </c>
      <c r="K36" s="138">
        <f t="shared" si="73"/>
        <v>0</v>
      </c>
      <c r="L36" s="99">
        <f t="shared" si="73"/>
        <v>0</v>
      </c>
      <c r="M36" s="99">
        <f t="shared" si="73"/>
        <v>0</v>
      </c>
      <c r="N36" s="99">
        <f t="shared" si="73"/>
        <v>0</v>
      </c>
      <c r="O36" s="99">
        <f t="shared" si="73"/>
        <v>0</v>
      </c>
      <c r="P36" s="99">
        <f t="shared" si="73"/>
        <v>0</v>
      </c>
      <c r="Q36" s="99">
        <f t="shared" si="73"/>
        <v>0</v>
      </c>
      <c r="R36" s="99">
        <f t="shared" si="73"/>
        <v>0</v>
      </c>
      <c r="S36" s="128">
        <f t="shared" si="73"/>
        <v>0</v>
      </c>
      <c r="T36" s="148">
        <f t="shared" si="73"/>
        <v>60741.692313097999</v>
      </c>
      <c r="U36" s="148">
        <f t="shared" si="73"/>
        <v>0</v>
      </c>
      <c r="V36" s="116">
        <f t="shared" si="73"/>
        <v>15714.3521</v>
      </c>
      <c r="W36" s="750">
        <f t="shared" si="73"/>
        <v>31308.87098037099</v>
      </c>
      <c r="X36" s="735">
        <f t="shared" si="73"/>
        <v>0</v>
      </c>
      <c r="Y36" s="735">
        <f t="shared" si="73"/>
        <v>3217.5923249297639</v>
      </c>
      <c r="Z36" s="735">
        <f t="shared" si="73"/>
        <v>0</v>
      </c>
      <c r="AA36" s="735">
        <f t="shared" si="73"/>
        <v>0</v>
      </c>
      <c r="AB36" s="735">
        <f t="shared" si="73"/>
        <v>0</v>
      </c>
      <c r="AC36" s="735">
        <f t="shared" si="73"/>
        <v>337.71000000000004</v>
      </c>
      <c r="AD36" s="761">
        <f t="shared" si="73"/>
        <v>34864.173305300756</v>
      </c>
      <c r="AE36" s="771">
        <f t="shared" si="73"/>
        <v>0</v>
      </c>
      <c r="AF36" s="735">
        <f t="shared" si="73"/>
        <v>0</v>
      </c>
      <c r="AG36" s="735">
        <f t="shared" si="73"/>
        <v>0</v>
      </c>
      <c r="AH36" s="735">
        <f t="shared" si="73"/>
        <v>0</v>
      </c>
      <c r="AI36" s="735">
        <f t="shared" si="73"/>
        <v>0</v>
      </c>
      <c r="AJ36" s="735">
        <f t="shared" si="73"/>
        <v>0</v>
      </c>
      <c r="AK36" s="735">
        <f t="shared" si="73"/>
        <v>0</v>
      </c>
      <c r="AL36" s="761">
        <f t="shared" si="73"/>
        <v>0</v>
      </c>
      <c r="AM36" s="751">
        <f t="shared" si="73"/>
        <v>34864.173305300756</v>
      </c>
      <c r="AN36" s="115">
        <f t="shared" si="73"/>
        <v>6933.9408073674276</v>
      </c>
      <c r="AO36" s="99">
        <f t="shared" si="73"/>
        <v>591.34537552760742</v>
      </c>
      <c r="AP36" s="99">
        <f t="shared" si="73"/>
        <v>18352.21254490221</v>
      </c>
      <c r="AQ36" s="128">
        <f t="shared" si="73"/>
        <v>25877.498727797247</v>
      </c>
      <c r="AR36" s="138">
        <f t="shared" si="73"/>
        <v>0</v>
      </c>
      <c r="AS36" s="99">
        <f t="shared" si="73"/>
        <v>0</v>
      </c>
      <c r="AT36" s="99">
        <f t="shared" si="73"/>
        <v>0</v>
      </c>
      <c r="AU36" s="128">
        <f t="shared" si="73"/>
        <v>0</v>
      </c>
      <c r="AV36" s="116">
        <f>AV37+AV40+AV42</f>
        <v>25877.498727797247</v>
      </c>
      <c r="AW36" s="115">
        <f>AW37+AW40+AW42</f>
        <v>89444.473073498288</v>
      </c>
      <c r="AX36" s="100">
        <f t="shared" si="72"/>
        <v>0.59555733940778122</v>
      </c>
      <c r="AY36" s="682">
        <f>T36/BC36</f>
        <v>3.4274526178371539E-2</v>
      </c>
      <c r="AZ36" s="683">
        <f t="shared" si="64"/>
        <v>2.5184405920697516E-3</v>
      </c>
      <c r="BA36" s="683">
        <f>AV36/BC36</f>
        <v>1.4601815882983035E-2</v>
      </c>
      <c r="BB36" s="684">
        <f t="shared" si="65"/>
        <v>1.0729194517892094E-3</v>
      </c>
      <c r="BC36" s="84">
        <f>BC37+BC40+BC42</f>
        <v>1772211</v>
      </c>
      <c r="BD36" s="84">
        <f>BD37+BD40+BD42</f>
        <v>0</v>
      </c>
      <c r="BE36" s="84">
        <f>BE37+BE40+BE42</f>
        <v>24118771.15718586</v>
      </c>
      <c r="BG36" s="677">
        <f>BB36*1000</f>
        <v>1.0729194517892093</v>
      </c>
    </row>
    <row r="37" spans="1:59" ht="13.5" customHeight="1" x14ac:dyDescent="0.2">
      <c r="A37" s="168" t="s">
        <v>453</v>
      </c>
      <c r="B37" s="117">
        <f t="shared" ref="B37:AU37" si="74">SUM(B38:B39)</f>
        <v>4479.6329999857526</v>
      </c>
      <c r="C37" s="98">
        <f t="shared" si="74"/>
        <v>6734.5969999999998</v>
      </c>
      <c r="D37" s="98">
        <f t="shared" si="74"/>
        <v>0</v>
      </c>
      <c r="E37" s="98">
        <f t="shared" si="74"/>
        <v>1578.6048999999998</v>
      </c>
      <c r="F37" s="98">
        <f t="shared" si="74"/>
        <v>1187.2313304333334</v>
      </c>
      <c r="G37" s="98">
        <f t="shared" si="74"/>
        <v>0</v>
      </c>
      <c r="H37" s="98">
        <f t="shared" si="74"/>
        <v>0</v>
      </c>
      <c r="I37" s="98">
        <f t="shared" si="74"/>
        <v>0</v>
      </c>
      <c r="J37" s="129">
        <f t="shared" si="74"/>
        <v>13980.066230419086</v>
      </c>
      <c r="K37" s="139">
        <f t="shared" si="74"/>
        <v>0</v>
      </c>
      <c r="L37" s="98">
        <f t="shared" si="74"/>
        <v>0</v>
      </c>
      <c r="M37" s="98">
        <f t="shared" si="74"/>
        <v>0</v>
      </c>
      <c r="N37" s="98">
        <f t="shared" si="74"/>
        <v>0</v>
      </c>
      <c r="O37" s="98">
        <f t="shared" si="74"/>
        <v>0</v>
      </c>
      <c r="P37" s="98">
        <f t="shared" si="74"/>
        <v>0</v>
      </c>
      <c r="Q37" s="98">
        <f t="shared" si="74"/>
        <v>0</v>
      </c>
      <c r="R37" s="98">
        <f t="shared" si="74"/>
        <v>0</v>
      </c>
      <c r="S37" s="129">
        <f t="shared" si="74"/>
        <v>0</v>
      </c>
      <c r="T37" s="146">
        <f t="shared" si="74"/>
        <v>13980.066230419086</v>
      </c>
      <c r="U37" s="146">
        <f t="shared" si="74"/>
        <v>0</v>
      </c>
      <c r="V37" s="112">
        <f t="shared" si="74"/>
        <v>2516.1002600000002</v>
      </c>
      <c r="W37" s="752">
        <f t="shared" si="74"/>
        <v>859.13959010952351</v>
      </c>
      <c r="X37" s="734">
        <f t="shared" si="74"/>
        <v>0</v>
      </c>
      <c r="Y37" s="734">
        <f t="shared" si="74"/>
        <v>1256.4766029460002</v>
      </c>
      <c r="Z37" s="734">
        <f t="shared" si="74"/>
        <v>0</v>
      </c>
      <c r="AA37" s="734">
        <f t="shared" si="74"/>
        <v>0</v>
      </c>
      <c r="AB37" s="734">
        <f t="shared" si="74"/>
        <v>0</v>
      </c>
      <c r="AC37" s="734">
        <f t="shared" si="74"/>
        <v>265.423</v>
      </c>
      <c r="AD37" s="762">
        <f t="shared" si="74"/>
        <v>2381.0391930555238</v>
      </c>
      <c r="AE37" s="772">
        <f t="shared" si="74"/>
        <v>0</v>
      </c>
      <c r="AF37" s="734">
        <f t="shared" si="74"/>
        <v>0</v>
      </c>
      <c r="AG37" s="734">
        <f t="shared" si="74"/>
        <v>0</v>
      </c>
      <c r="AH37" s="734">
        <f t="shared" si="74"/>
        <v>0</v>
      </c>
      <c r="AI37" s="734">
        <f t="shared" si="74"/>
        <v>0</v>
      </c>
      <c r="AJ37" s="734">
        <f t="shared" si="74"/>
        <v>0</v>
      </c>
      <c r="AK37" s="734">
        <f t="shared" si="74"/>
        <v>0</v>
      </c>
      <c r="AL37" s="762">
        <f t="shared" si="74"/>
        <v>0</v>
      </c>
      <c r="AM37" s="747">
        <f t="shared" si="74"/>
        <v>2381.0391930555238</v>
      </c>
      <c r="AN37" s="117">
        <f t="shared" si="74"/>
        <v>3758.65178332</v>
      </c>
      <c r="AO37" s="98">
        <f t="shared" si="74"/>
        <v>404.91291534997822</v>
      </c>
      <c r="AP37" s="98">
        <f t="shared" si="74"/>
        <v>7435.4420586935848</v>
      </c>
      <c r="AQ37" s="129">
        <f>SUM(AQ38:AQ39)</f>
        <v>11599.006757363564</v>
      </c>
      <c r="AR37" s="139">
        <f t="shared" si="74"/>
        <v>0</v>
      </c>
      <c r="AS37" s="98">
        <f t="shared" si="74"/>
        <v>0</v>
      </c>
      <c r="AT37" s="98">
        <f t="shared" si="74"/>
        <v>0</v>
      </c>
      <c r="AU37" s="129">
        <f t="shared" si="74"/>
        <v>0</v>
      </c>
      <c r="AV37" s="112">
        <f>SUM(AV38:AV39)</f>
        <v>11599.006757363564</v>
      </c>
      <c r="AW37" s="117">
        <f>SUM(AW38:AW39)</f>
        <v>61904.061553934633</v>
      </c>
      <c r="AX37" s="97">
        <f t="shared" si="72"/>
        <v>0.81577087806626158</v>
      </c>
      <c r="AY37" s="685">
        <f>T37/BC37</f>
        <v>1.9024018363151665E-2</v>
      </c>
      <c r="AZ37" s="686">
        <f t="shared" si="64"/>
        <v>1.1265765618866123E-3</v>
      </c>
      <c r="BA37" s="686">
        <f>AV37/BC37</f>
        <v>1.5783882129705041E-2</v>
      </c>
      <c r="BB37" s="687">
        <f t="shared" si="65"/>
        <v>9.3470008930125845E-4</v>
      </c>
      <c r="BC37" s="84">
        <f>SUM(BC38:BC39)</f>
        <v>734864</v>
      </c>
      <c r="BD37" s="84">
        <f>SUM(BD38:BD39)</f>
        <v>0</v>
      </c>
      <c r="BE37" s="84">
        <f>SUM(BE38:BE39)</f>
        <v>12409335.240391903</v>
      </c>
      <c r="BG37" s="54">
        <f>T38-AM38-AV38</f>
        <v>2.0279999998820131E-2</v>
      </c>
    </row>
    <row r="38" spans="1:59" ht="13.5" customHeight="1" x14ac:dyDescent="0.2">
      <c r="A38" s="56" t="s">
        <v>454</v>
      </c>
      <c r="B38" s="113">
        <v>1276.8648909857525</v>
      </c>
      <c r="C38" s="89">
        <v>1762.0610000000001</v>
      </c>
      <c r="D38" s="89">
        <v>0</v>
      </c>
      <c r="E38" s="89">
        <v>1071.9648999999999</v>
      </c>
      <c r="F38" s="89">
        <v>1073.7003304333334</v>
      </c>
      <c r="G38" s="89">
        <v>0</v>
      </c>
      <c r="H38" s="89">
        <v>0</v>
      </c>
      <c r="I38" s="89">
        <v>0</v>
      </c>
      <c r="J38" s="130">
        <f>SUM(B38:I38)</f>
        <v>5184.5911214190855</v>
      </c>
      <c r="K38" s="136">
        <v>0</v>
      </c>
      <c r="L38" s="89">
        <v>0</v>
      </c>
      <c r="M38" s="89">
        <v>0</v>
      </c>
      <c r="N38" s="89">
        <v>0</v>
      </c>
      <c r="O38" s="89">
        <v>0</v>
      </c>
      <c r="P38" s="89">
        <v>0</v>
      </c>
      <c r="Q38" s="89">
        <v>0</v>
      </c>
      <c r="R38" s="89">
        <v>0</v>
      </c>
      <c r="S38" s="130">
        <v>0</v>
      </c>
      <c r="T38" s="145">
        <f>S38+J38</f>
        <v>5184.5911214190855</v>
      </c>
      <c r="U38" s="145">
        <v>0</v>
      </c>
      <c r="V38" s="111">
        <v>2462.4355</v>
      </c>
      <c r="W38" s="748">
        <v>859.13959010952351</v>
      </c>
      <c r="X38" s="730">
        <v>0</v>
      </c>
      <c r="Y38" s="730">
        <v>404.35199999999998</v>
      </c>
      <c r="Z38" s="730">
        <v>0</v>
      </c>
      <c r="AA38" s="730">
        <v>0</v>
      </c>
      <c r="AB38" s="730">
        <v>0</v>
      </c>
      <c r="AC38" s="730">
        <v>235.732</v>
      </c>
      <c r="AD38" s="763">
        <f>SUM(W38:AC38)</f>
        <v>1499.2235901095235</v>
      </c>
      <c r="AE38" s="769">
        <v>0</v>
      </c>
      <c r="AF38" s="730">
        <v>0</v>
      </c>
      <c r="AG38" s="730">
        <v>0</v>
      </c>
      <c r="AH38" s="730">
        <v>0</v>
      </c>
      <c r="AI38" s="730">
        <v>0</v>
      </c>
      <c r="AJ38" s="730">
        <v>0</v>
      </c>
      <c r="AK38" s="730">
        <v>0</v>
      </c>
      <c r="AL38" s="763">
        <v>0</v>
      </c>
      <c r="AM38" s="746">
        <v>1499.2235901095235</v>
      </c>
      <c r="AN38" s="113">
        <v>729.68442056000004</v>
      </c>
      <c r="AO38" s="89">
        <v>70.335476692285255</v>
      </c>
      <c r="AP38" s="807">
        <v>2885.3273540572777</v>
      </c>
      <c r="AQ38" s="130">
        <f>SUM(AN38:AP38)</f>
        <v>3685.347251309563</v>
      </c>
      <c r="AR38" s="136">
        <v>0</v>
      </c>
      <c r="AS38" s="89">
        <v>0</v>
      </c>
      <c r="AT38" s="89">
        <v>0</v>
      </c>
      <c r="AU38" s="130">
        <v>0</v>
      </c>
      <c r="AV38" s="111">
        <f>AU38+AQ38</f>
        <v>3685.347251309563</v>
      </c>
      <c r="AW38" s="113">
        <v>23969.687388189701</v>
      </c>
      <c r="AX38" s="82">
        <f t="shared" si="72"/>
        <v>0.82216705792563771</v>
      </c>
      <c r="AY38" s="688">
        <v>9.1006556549166617E-3</v>
      </c>
      <c r="AZ38" s="689">
        <v>7.982027729417446E-4</v>
      </c>
      <c r="BA38" s="689">
        <v>6.8302537217896017E-3</v>
      </c>
      <c r="BB38" s="690">
        <v>5.9906974479170729E-4</v>
      </c>
      <c r="BC38" s="84">
        <v>660334</v>
      </c>
      <c r="BD38" s="84"/>
      <c r="BE38" s="84">
        <v>7528754.0396359023</v>
      </c>
      <c r="BG38" s="54">
        <f t="shared" ref="BG38:BG43" si="75">T39-AM39-AV39</f>
        <v>0</v>
      </c>
    </row>
    <row r="39" spans="1:59" ht="13.5" customHeight="1" x14ac:dyDescent="0.2">
      <c r="A39" s="56" t="s">
        <v>455</v>
      </c>
      <c r="B39" s="113">
        <v>3202.7681090000001</v>
      </c>
      <c r="C39" s="89">
        <v>4972.5360000000001</v>
      </c>
      <c r="D39" s="89"/>
      <c r="E39" s="89">
        <v>506.64</v>
      </c>
      <c r="F39" s="89">
        <v>113.53100000000001</v>
      </c>
      <c r="G39" s="89"/>
      <c r="H39" s="89"/>
      <c r="I39" s="89"/>
      <c r="J39" s="130">
        <f>SUM(B39:I39)</f>
        <v>8795.4751090000009</v>
      </c>
      <c r="K39" s="136"/>
      <c r="L39" s="89"/>
      <c r="M39" s="89"/>
      <c r="N39" s="89"/>
      <c r="O39" s="89"/>
      <c r="P39" s="89"/>
      <c r="Q39" s="89"/>
      <c r="R39" s="89"/>
      <c r="S39" s="130"/>
      <c r="T39" s="145">
        <f>S39+J39</f>
        <v>8795.4751090000009</v>
      </c>
      <c r="U39" s="145">
        <v>0</v>
      </c>
      <c r="V39" s="111">
        <v>53.664760000000001</v>
      </c>
      <c r="W39" s="748"/>
      <c r="X39" s="730"/>
      <c r="Y39" s="730">
        <v>852.12460294600021</v>
      </c>
      <c r="Z39" s="730"/>
      <c r="AA39" s="730"/>
      <c r="AB39" s="730"/>
      <c r="AC39" s="730">
        <v>29.690999999999999</v>
      </c>
      <c r="AD39" s="763">
        <f>SUM(W39:AC39)</f>
        <v>881.81560294600024</v>
      </c>
      <c r="AE39" s="769"/>
      <c r="AF39" s="730"/>
      <c r="AG39" s="730"/>
      <c r="AH39" s="730"/>
      <c r="AI39" s="730"/>
      <c r="AJ39" s="730"/>
      <c r="AK39" s="730"/>
      <c r="AL39" s="763"/>
      <c r="AM39" s="746">
        <f>AL39+AD39</f>
        <v>881.81560294600024</v>
      </c>
      <c r="AN39" s="113">
        <v>3028.96736276</v>
      </c>
      <c r="AO39" s="89">
        <v>334.57743865769294</v>
      </c>
      <c r="AP39" s="807">
        <v>4550.1147046363076</v>
      </c>
      <c r="AQ39" s="130">
        <f>SUM(AN39:AP39)</f>
        <v>7913.6595060540003</v>
      </c>
      <c r="AR39" s="136"/>
      <c r="AS39" s="89"/>
      <c r="AT39" s="89"/>
      <c r="AU39" s="130">
        <f>SUM(AR39:AT39)</f>
        <v>0</v>
      </c>
      <c r="AV39" s="111">
        <f>AU39+AQ39</f>
        <v>7913.6595060540003</v>
      </c>
      <c r="AW39" s="113">
        <v>37934.374165744935</v>
      </c>
      <c r="AX39" s="86">
        <f t="shared" si="72"/>
        <v>0.8117803663930605</v>
      </c>
      <c r="AY39" s="688">
        <f>T39/BC39</f>
        <v>0.11801254674627668</v>
      </c>
      <c r="AZ39" s="689">
        <f>T39/BE39</f>
        <v>1.8021368249415838E-3</v>
      </c>
      <c r="BA39" s="689">
        <f>AV39/BC39</f>
        <v>0.10618086013758218</v>
      </c>
      <c r="BB39" s="690">
        <f>AV39/BE39</f>
        <v>1.6214584248343572E-3</v>
      </c>
      <c r="BC39" s="84">
        <v>74530</v>
      </c>
      <c r="BD39" s="84"/>
      <c r="BE39" s="92">
        <v>4880581.2007560004</v>
      </c>
      <c r="BG39" s="54">
        <f t="shared" si="75"/>
        <v>0</v>
      </c>
    </row>
    <row r="40" spans="1:59" ht="13.5" customHeight="1" x14ac:dyDescent="0.2">
      <c r="A40" s="169" t="s">
        <v>456</v>
      </c>
      <c r="B40" s="117">
        <f t="shared" ref="B40:AD40" si="76">B41</f>
        <v>4848.4815840300926</v>
      </c>
      <c r="C40" s="98">
        <f t="shared" si="76"/>
        <v>213.97900000000001</v>
      </c>
      <c r="D40" s="98">
        <f t="shared" si="76"/>
        <v>0</v>
      </c>
      <c r="E40" s="98">
        <f t="shared" si="76"/>
        <v>171.35</v>
      </c>
      <c r="F40" s="98">
        <f t="shared" si="76"/>
        <v>0</v>
      </c>
      <c r="G40" s="98">
        <f t="shared" si="76"/>
        <v>0</v>
      </c>
      <c r="H40" s="98">
        <f t="shared" si="76"/>
        <v>0</v>
      </c>
      <c r="I40" s="98">
        <f t="shared" si="76"/>
        <v>0</v>
      </c>
      <c r="J40" s="129">
        <f t="shared" si="76"/>
        <v>5233.8105840300932</v>
      </c>
      <c r="K40" s="139">
        <f t="shared" si="76"/>
        <v>0</v>
      </c>
      <c r="L40" s="98">
        <f t="shared" si="76"/>
        <v>0</v>
      </c>
      <c r="M40" s="98">
        <f t="shared" si="76"/>
        <v>0</v>
      </c>
      <c r="N40" s="98">
        <f t="shared" si="76"/>
        <v>0</v>
      </c>
      <c r="O40" s="98">
        <f t="shared" si="76"/>
        <v>0</v>
      </c>
      <c r="P40" s="98">
        <f t="shared" si="76"/>
        <v>0</v>
      </c>
      <c r="Q40" s="98">
        <f t="shared" si="76"/>
        <v>0</v>
      </c>
      <c r="R40" s="98">
        <f t="shared" si="76"/>
        <v>0</v>
      </c>
      <c r="S40" s="129">
        <f t="shared" si="76"/>
        <v>0</v>
      </c>
      <c r="T40" s="146">
        <f t="shared" si="76"/>
        <v>5233.8105840300932</v>
      </c>
      <c r="U40" s="146">
        <f>U41</f>
        <v>0</v>
      </c>
      <c r="V40" s="112">
        <f>V41</f>
        <v>8467.0360000000001</v>
      </c>
      <c r="W40" s="752">
        <f t="shared" si="76"/>
        <v>2557.1480499999998</v>
      </c>
      <c r="X40" s="734">
        <f t="shared" si="76"/>
        <v>0</v>
      </c>
      <c r="Y40" s="734">
        <f t="shared" si="76"/>
        <v>845.63254998376374</v>
      </c>
      <c r="Z40" s="734">
        <f t="shared" si="76"/>
        <v>0</v>
      </c>
      <c r="AA40" s="734">
        <f t="shared" si="76"/>
        <v>0</v>
      </c>
      <c r="AB40" s="734">
        <f t="shared" si="76"/>
        <v>0</v>
      </c>
      <c r="AC40" s="734">
        <f t="shared" si="76"/>
        <v>72.287000000000006</v>
      </c>
      <c r="AD40" s="762">
        <f t="shared" si="76"/>
        <v>3475.0675999837636</v>
      </c>
      <c r="AE40" s="772">
        <v>0</v>
      </c>
      <c r="AF40" s="734">
        <v>0</v>
      </c>
      <c r="AG40" s="734">
        <v>0</v>
      </c>
      <c r="AH40" s="734">
        <v>0</v>
      </c>
      <c r="AI40" s="734">
        <v>0</v>
      </c>
      <c r="AJ40" s="734">
        <v>0</v>
      </c>
      <c r="AK40" s="734">
        <v>0</v>
      </c>
      <c r="AL40" s="762">
        <v>0</v>
      </c>
      <c r="AM40" s="747">
        <f>AM41</f>
        <v>3475.0675999837636</v>
      </c>
      <c r="AN40" s="117">
        <f>AN41</f>
        <v>1466.8682099474274</v>
      </c>
      <c r="AO40" s="98">
        <f>AO41</f>
        <v>61.815894098902092</v>
      </c>
      <c r="AP40" s="808">
        <f>AP41</f>
        <v>230.05888000000002</v>
      </c>
      <c r="AQ40" s="129">
        <f>AQ41</f>
        <v>1758.7429840463296</v>
      </c>
      <c r="AR40" s="139">
        <v>0</v>
      </c>
      <c r="AS40" s="98">
        <v>0</v>
      </c>
      <c r="AT40" s="98">
        <v>0</v>
      </c>
      <c r="AU40" s="129">
        <v>0</v>
      </c>
      <c r="AV40" s="112">
        <f>AU40+AQ40</f>
        <v>1758.7429840463296</v>
      </c>
      <c r="AW40" s="117">
        <f>AW41</f>
        <v>9173.6798598902078</v>
      </c>
      <c r="AX40" s="97">
        <f t="shared" si="72"/>
        <v>0.63672989377281408</v>
      </c>
      <c r="AY40" s="685">
        <f>T40/BC40</f>
        <v>2.2746204123627066E-2</v>
      </c>
      <c r="AZ40" s="686">
        <f>T40/BE40</f>
        <v>1.4990745411747463E-3</v>
      </c>
      <c r="BA40" s="686">
        <f>AV40/BC40</f>
        <v>7.6435182882202629E-3</v>
      </c>
      <c r="BB40" s="687">
        <f>AV40/BE40</f>
        <v>5.0374135431997824E-4</v>
      </c>
      <c r="BC40" s="84">
        <f>BC41</f>
        <v>230096</v>
      </c>
      <c r="BD40" s="84">
        <f>BD41</f>
        <v>0</v>
      </c>
      <c r="BE40" s="84">
        <f>BE41</f>
        <v>3491361.13</v>
      </c>
      <c r="BG40" s="54">
        <f t="shared" si="75"/>
        <v>0</v>
      </c>
    </row>
    <row r="41" spans="1:59" ht="13.5" customHeight="1" x14ac:dyDescent="0.2">
      <c r="A41" s="56" t="s">
        <v>457</v>
      </c>
      <c r="B41" s="113">
        <v>4848.4815840300926</v>
      </c>
      <c r="C41" s="89">
        <v>213.97900000000001</v>
      </c>
      <c r="D41" s="89"/>
      <c r="E41" s="89">
        <v>171.35</v>
      </c>
      <c r="F41" s="89"/>
      <c r="G41" s="89"/>
      <c r="H41" s="89"/>
      <c r="I41" s="89"/>
      <c r="J41" s="130">
        <f>SUM(B41:I41)</f>
        <v>5233.8105840300932</v>
      </c>
      <c r="K41" s="136"/>
      <c r="L41" s="89"/>
      <c r="M41" s="89"/>
      <c r="N41" s="89"/>
      <c r="O41" s="89"/>
      <c r="P41" s="89"/>
      <c r="Q41" s="89"/>
      <c r="R41" s="89"/>
      <c r="S41" s="130"/>
      <c r="T41" s="145">
        <f>S41+J41</f>
        <v>5233.8105840300932</v>
      </c>
      <c r="U41" s="145">
        <v>0</v>
      </c>
      <c r="V41" s="111">
        <v>8467.0360000000001</v>
      </c>
      <c r="W41" s="748">
        <v>2557.1480499999998</v>
      </c>
      <c r="X41" s="730"/>
      <c r="Y41" s="730">
        <v>845.63254998376374</v>
      </c>
      <c r="Z41" s="730"/>
      <c r="AA41" s="730"/>
      <c r="AB41" s="730"/>
      <c r="AC41" s="730">
        <v>72.287000000000006</v>
      </c>
      <c r="AD41" s="763">
        <f>SUM(W41:AC41)</f>
        <v>3475.0675999837636</v>
      </c>
      <c r="AE41" s="769"/>
      <c r="AF41" s="730"/>
      <c r="AG41" s="730"/>
      <c r="AH41" s="730"/>
      <c r="AI41" s="730"/>
      <c r="AJ41" s="730"/>
      <c r="AK41" s="730"/>
      <c r="AL41" s="763"/>
      <c r="AM41" s="746">
        <f>AL41+AD41</f>
        <v>3475.0675999837636</v>
      </c>
      <c r="AN41" s="113">
        <v>1466.8682099474274</v>
      </c>
      <c r="AO41" s="89">
        <v>61.815894098902092</v>
      </c>
      <c r="AP41" s="807">
        <v>230.05888000000002</v>
      </c>
      <c r="AQ41" s="130">
        <f>SUM(AN41:AP41)</f>
        <v>1758.7429840463296</v>
      </c>
      <c r="AR41" s="136"/>
      <c r="AS41" s="89"/>
      <c r="AT41" s="89"/>
      <c r="AU41" s="130"/>
      <c r="AV41" s="111">
        <f>AU41+AQ41</f>
        <v>1758.7429840463296</v>
      </c>
      <c r="AW41" s="113">
        <v>9173.6798598902078</v>
      </c>
      <c r="AX41" s="86">
        <f t="shared" si="72"/>
        <v>0.63672989377281408</v>
      </c>
      <c r="AY41" s="688">
        <f>T41/BC41</f>
        <v>2.2746204123627066E-2</v>
      </c>
      <c r="AZ41" s="689">
        <f>T41/BE41</f>
        <v>1.4990745411747463E-3</v>
      </c>
      <c r="BA41" s="689">
        <f>AV41/BC41</f>
        <v>7.6435182882202629E-3</v>
      </c>
      <c r="BB41" s="690">
        <f>AV41/BE41</f>
        <v>5.0374135431997824E-4</v>
      </c>
      <c r="BC41" s="84">
        <v>230096</v>
      </c>
      <c r="BD41" s="84"/>
      <c r="BE41" s="92">
        <v>3491361.13</v>
      </c>
      <c r="BG41" s="54">
        <f t="shared" si="75"/>
        <v>0</v>
      </c>
    </row>
    <row r="42" spans="1:59" ht="13.5" customHeight="1" x14ac:dyDescent="0.2">
      <c r="A42" s="168" t="s">
        <v>458</v>
      </c>
      <c r="B42" s="117">
        <f t="shared" ref="B42:AE42" si="77">SUM(B43)</f>
        <v>37331.297925805004</v>
      </c>
      <c r="C42" s="98">
        <f t="shared" si="77"/>
        <v>3125.6784341404928</v>
      </c>
      <c r="D42" s="98">
        <f t="shared" si="77"/>
        <v>0</v>
      </c>
      <c r="E42" s="98">
        <f t="shared" si="77"/>
        <v>507.94329870331808</v>
      </c>
      <c r="F42" s="98">
        <f t="shared" si="77"/>
        <v>562.89584000000013</v>
      </c>
      <c r="G42" s="98">
        <f t="shared" si="77"/>
        <v>0</v>
      </c>
      <c r="H42" s="98">
        <f t="shared" si="77"/>
        <v>0</v>
      </c>
      <c r="I42" s="98">
        <f t="shared" si="77"/>
        <v>0</v>
      </c>
      <c r="J42" s="129">
        <f t="shared" si="77"/>
        <v>41527.815498648815</v>
      </c>
      <c r="K42" s="139">
        <f t="shared" si="77"/>
        <v>0</v>
      </c>
      <c r="L42" s="98">
        <f t="shared" si="77"/>
        <v>0</v>
      </c>
      <c r="M42" s="98">
        <f t="shared" si="77"/>
        <v>0</v>
      </c>
      <c r="N42" s="98">
        <f t="shared" si="77"/>
        <v>0</v>
      </c>
      <c r="O42" s="98">
        <f t="shared" si="77"/>
        <v>0</v>
      </c>
      <c r="P42" s="98">
        <f t="shared" si="77"/>
        <v>0</v>
      </c>
      <c r="Q42" s="98">
        <f t="shared" si="77"/>
        <v>0</v>
      </c>
      <c r="R42" s="98">
        <f t="shared" si="77"/>
        <v>0</v>
      </c>
      <c r="S42" s="129">
        <f t="shared" si="77"/>
        <v>0</v>
      </c>
      <c r="T42" s="146">
        <f t="shared" si="77"/>
        <v>41527.815498648815</v>
      </c>
      <c r="U42" s="146">
        <f>SUM(U43)</f>
        <v>0</v>
      </c>
      <c r="V42" s="112">
        <f>SUM(V43)</f>
        <v>4731.2158399999998</v>
      </c>
      <c r="W42" s="752">
        <f t="shared" si="77"/>
        <v>27892.583340261466</v>
      </c>
      <c r="X42" s="734">
        <f t="shared" si="77"/>
        <v>0</v>
      </c>
      <c r="Y42" s="734">
        <f t="shared" si="77"/>
        <v>1115.483172</v>
      </c>
      <c r="Z42" s="734">
        <f t="shared" si="77"/>
        <v>0</v>
      </c>
      <c r="AA42" s="734">
        <f t="shared" si="77"/>
        <v>0</v>
      </c>
      <c r="AB42" s="734">
        <f t="shared" si="77"/>
        <v>0</v>
      </c>
      <c r="AC42" s="734">
        <f t="shared" si="77"/>
        <v>0</v>
      </c>
      <c r="AD42" s="762">
        <f t="shared" si="77"/>
        <v>29008.066512261466</v>
      </c>
      <c r="AE42" s="772">
        <f t="shared" si="77"/>
        <v>0</v>
      </c>
      <c r="AF42" s="734">
        <f t="shared" ref="AF42:AV42" si="78">SUM(AF43)</f>
        <v>0</v>
      </c>
      <c r="AG42" s="734">
        <f t="shared" si="78"/>
        <v>0</v>
      </c>
      <c r="AH42" s="734">
        <f t="shared" si="78"/>
        <v>0</v>
      </c>
      <c r="AI42" s="734">
        <f t="shared" si="78"/>
        <v>0</v>
      </c>
      <c r="AJ42" s="734">
        <f t="shared" si="78"/>
        <v>0</v>
      </c>
      <c r="AK42" s="734">
        <f t="shared" si="78"/>
        <v>0</v>
      </c>
      <c r="AL42" s="762">
        <f t="shared" si="78"/>
        <v>0</v>
      </c>
      <c r="AM42" s="747">
        <f t="shared" si="78"/>
        <v>29008.066512261466</v>
      </c>
      <c r="AN42" s="117">
        <f t="shared" si="78"/>
        <v>1708.4208141000001</v>
      </c>
      <c r="AO42" s="98">
        <f t="shared" si="78"/>
        <v>124.6165660787271</v>
      </c>
      <c r="AP42" s="808">
        <f t="shared" si="78"/>
        <v>10686.711606208624</v>
      </c>
      <c r="AQ42" s="129">
        <f>SUM(AQ43)</f>
        <v>12519.748986387352</v>
      </c>
      <c r="AR42" s="139">
        <f t="shared" si="78"/>
        <v>0</v>
      </c>
      <c r="AS42" s="98">
        <f t="shared" si="78"/>
        <v>0</v>
      </c>
      <c r="AT42" s="98">
        <f t="shared" si="78"/>
        <v>0</v>
      </c>
      <c r="AU42" s="129">
        <f t="shared" si="78"/>
        <v>0</v>
      </c>
      <c r="AV42" s="112">
        <f t="shared" si="78"/>
        <v>12519.748986387352</v>
      </c>
      <c r="AW42" s="117">
        <f>AW43</f>
        <v>18366.731659673449</v>
      </c>
      <c r="AX42" s="97">
        <f t="shared" si="72"/>
        <v>0.30665114824432588</v>
      </c>
      <c r="AY42" s="685">
        <f>T42/BC42</f>
        <v>5.1443498365005204E-2</v>
      </c>
      <c r="AZ42" s="686">
        <f>T42/BE42</f>
        <v>5.0532292022192329E-3</v>
      </c>
      <c r="BA42" s="686">
        <f>AV42/BC42</f>
        <v>1.5509115487484503E-2</v>
      </c>
      <c r="BB42" s="687">
        <f>AV42/BE42</f>
        <v>1.5234406246224452E-3</v>
      </c>
      <c r="BC42" s="84">
        <f t="shared" ref="BC42:BE42" si="79">SUM(BC43)</f>
        <v>807251</v>
      </c>
      <c r="BD42" s="84">
        <f t="shared" si="79"/>
        <v>0</v>
      </c>
      <c r="BE42" s="84">
        <f t="shared" si="79"/>
        <v>8218074.7867939565</v>
      </c>
      <c r="BG42" s="54">
        <f t="shared" si="75"/>
        <v>0</v>
      </c>
    </row>
    <row r="43" spans="1:59" ht="13.5" customHeight="1" thickBot="1" x14ac:dyDescent="0.25">
      <c r="A43" s="56" t="s">
        <v>459</v>
      </c>
      <c r="B43" s="118">
        <v>37331.297925805004</v>
      </c>
      <c r="C43" s="119">
        <v>3125.6784341404928</v>
      </c>
      <c r="D43" s="119"/>
      <c r="E43" s="119">
        <v>507.94329870331808</v>
      </c>
      <c r="F43" s="119">
        <v>562.89584000000013</v>
      </c>
      <c r="G43" s="119"/>
      <c r="H43" s="119"/>
      <c r="I43" s="119"/>
      <c r="J43" s="131">
        <f>SUM(B43:I43)</f>
        <v>41527.815498648815</v>
      </c>
      <c r="K43" s="140"/>
      <c r="L43" s="119"/>
      <c r="M43" s="119"/>
      <c r="N43" s="119"/>
      <c r="O43" s="119"/>
      <c r="P43" s="119"/>
      <c r="Q43" s="119"/>
      <c r="R43" s="119"/>
      <c r="S43" s="131"/>
      <c r="T43" s="149">
        <f>S43+J43</f>
        <v>41527.815498648815</v>
      </c>
      <c r="U43" s="149">
        <v>0</v>
      </c>
      <c r="V43" s="120">
        <v>4731.2158399999998</v>
      </c>
      <c r="W43" s="753">
        <v>27892.583340261466</v>
      </c>
      <c r="X43" s="754"/>
      <c r="Y43" s="754">
        <v>1115.483172</v>
      </c>
      <c r="Z43" s="754"/>
      <c r="AA43" s="754"/>
      <c r="AB43" s="754"/>
      <c r="AC43" s="754"/>
      <c r="AD43" s="764">
        <f>SUM(W43:AC43)</f>
        <v>29008.066512261466</v>
      </c>
      <c r="AE43" s="773"/>
      <c r="AF43" s="754"/>
      <c r="AG43" s="754"/>
      <c r="AH43" s="754"/>
      <c r="AI43" s="754"/>
      <c r="AJ43" s="754"/>
      <c r="AK43" s="754"/>
      <c r="AL43" s="764"/>
      <c r="AM43" s="755">
        <f>AL43+AD43</f>
        <v>29008.066512261466</v>
      </c>
      <c r="AN43" s="118">
        <v>1708.4208141000001</v>
      </c>
      <c r="AO43" s="119">
        <v>124.6165660787271</v>
      </c>
      <c r="AP43" s="809">
        <v>10686.711606208624</v>
      </c>
      <c r="AQ43" s="131">
        <f>SUM(AN43:AP43)</f>
        <v>12519.748986387352</v>
      </c>
      <c r="AR43" s="140"/>
      <c r="AS43" s="119"/>
      <c r="AT43" s="119"/>
      <c r="AU43" s="131"/>
      <c r="AV43" s="120">
        <f>AU43+AQ43</f>
        <v>12519.748986387352</v>
      </c>
      <c r="AW43" s="118">
        <v>18366.731659673449</v>
      </c>
      <c r="AX43" s="122">
        <f t="shared" si="72"/>
        <v>0.30665114824432588</v>
      </c>
      <c r="AY43" s="691">
        <f>T43/BC43</f>
        <v>5.1443498365005204E-2</v>
      </c>
      <c r="AZ43" s="692">
        <f>T43/BE43</f>
        <v>5.0532292022192329E-3</v>
      </c>
      <c r="BA43" s="692">
        <f>AV43/BC43</f>
        <v>1.5509115487484503E-2</v>
      </c>
      <c r="BB43" s="693">
        <f>AV43/BE43</f>
        <v>1.5234406246224452E-3</v>
      </c>
      <c r="BC43" s="84">
        <v>807251</v>
      </c>
      <c r="BD43" s="84"/>
      <c r="BE43" s="92">
        <v>8218074.7867939565</v>
      </c>
      <c r="BG43" s="54">
        <f t="shared" si="75"/>
        <v>0</v>
      </c>
    </row>
    <row r="44" spans="1:59" x14ac:dyDescent="0.2">
      <c r="BC44" s="84"/>
      <c r="BD44" s="84"/>
      <c r="BE44" s="92"/>
    </row>
    <row r="45" spans="1:59" x14ac:dyDescent="0.2">
      <c r="A45" s="13" t="s">
        <v>636</v>
      </c>
      <c r="B45" s="54" t="s">
        <v>637</v>
      </c>
      <c r="BC45" s="84"/>
      <c r="BD45" s="84"/>
      <c r="BE45" s="92"/>
    </row>
    <row r="46" spans="1:59" x14ac:dyDescent="0.2">
      <c r="A46" s="13" t="s">
        <v>483</v>
      </c>
      <c r="B46" s="315" t="s">
        <v>573</v>
      </c>
    </row>
    <row r="47" spans="1:59" x14ac:dyDescent="0.2">
      <c r="B47" s="7" t="s">
        <v>574</v>
      </c>
    </row>
    <row r="48" spans="1:59" x14ac:dyDescent="0.2">
      <c r="BC48" s="84"/>
      <c r="BD48" s="84"/>
      <c r="BE48" s="84"/>
    </row>
    <row r="49" spans="1:57" s="721" customFormat="1" ht="12.75" thickBot="1" x14ac:dyDescent="0.25">
      <c r="A49" s="724"/>
      <c r="B49" s="726"/>
      <c r="C49" s="726"/>
      <c r="D49" s="726"/>
      <c r="E49" s="726"/>
      <c r="F49" s="726"/>
      <c r="G49" s="726"/>
      <c r="H49" s="726"/>
      <c r="I49" s="726"/>
      <c r="J49" s="726"/>
      <c r="K49" s="726"/>
      <c r="L49" s="726"/>
      <c r="M49" s="726"/>
      <c r="N49" s="726"/>
      <c r="O49" s="726"/>
      <c r="P49" s="726"/>
      <c r="Q49" s="726"/>
      <c r="R49" s="726"/>
      <c r="S49" s="726"/>
      <c r="T49" s="726"/>
      <c r="U49" s="726"/>
      <c r="V49" s="726"/>
      <c r="W49" s="726"/>
      <c r="X49" s="726"/>
      <c r="Y49" s="726"/>
      <c r="Z49" s="726"/>
      <c r="AA49" s="726"/>
      <c r="AB49" s="726"/>
      <c r="AC49" s="726"/>
      <c r="AD49" s="726"/>
      <c r="AE49" s="726"/>
      <c r="AF49" s="726"/>
      <c r="AG49" s="726"/>
      <c r="AH49" s="726"/>
      <c r="AI49" s="726"/>
      <c r="AJ49" s="726"/>
      <c r="AK49" s="726"/>
      <c r="AL49" s="726"/>
      <c r="AM49" s="726"/>
      <c r="AN49" s="726"/>
      <c r="AO49" s="726"/>
      <c r="AP49" s="726"/>
      <c r="AQ49" s="726"/>
      <c r="AR49" s="726"/>
      <c r="AS49" s="726"/>
      <c r="AT49" s="726"/>
      <c r="AU49" s="726"/>
      <c r="AV49" s="726"/>
      <c r="AW49" s="726"/>
      <c r="AX49" s="723"/>
      <c r="AY49" s="731"/>
      <c r="AZ49" s="731"/>
      <c r="BA49" s="731"/>
      <c r="BB49" s="731"/>
      <c r="BC49" s="729"/>
      <c r="BD49" s="729"/>
      <c r="BE49" s="729"/>
    </row>
    <row r="50" spans="1:57" ht="36" x14ac:dyDescent="0.2">
      <c r="A50" s="798" t="s">
        <v>709</v>
      </c>
      <c r="B50" s="714"/>
      <c r="C50" s="712" t="s">
        <v>420</v>
      </c>
      <c r="D50" s="714" t="s">
        <v>429</v>
      </c>
      <c r="E50" s="714" t="s">
        <v>441</v>
      </c>
      <c r="F50" s="714" t="s">
        <v>443</v>
      </c>
      <c r="G50" s="712" t="s">
        <v>630</v>
      </c>
      <c r="H50" s="712" t="s">
        <v>633</v>
      </c>
      <c r="I50" s="712" t="s">
        <v>631</v>
      </c>
      <c r="J50" s="712" t="s">
        <v>632</v>
      </c>
      <c r="K50" s="712" t="s">
        <v>635</v>
      </c>
      <c r="L50" s="712" t="s">
        <v>634</v>
      </c>
      <c r="M50" s="714" t="s">
        <v>449</v>
      </c>
      <c r="N50" s="714" t="s">
        <v>638</v>
      </c>
      <c r="O50" s="710" t="s">
        <v>454</v>
      </c>
      <c r="P50" s="714" t="s">
        <v>455</v>
      </c>
      <c r="Q50" s="714" t="s">
        <v>457</v>
      </c>
      <c r="R50" s="709" t="s">
        <v>459</v>
      </c>
      <c r="S50" s="720"/>
      <c r="T50" s="720"/>
      <c r="U50" s="721"/>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row>
    <row r="51" spans="1:57" ht="36" x14ac:dyDescent="0.2">
      <c r="A51" s="799" t="s">
        <v>639</v>
      </c>
      <c r="B51" s="791" t="s">
        <v>640</v>
      </c>
      <c r="C51" s="792" t="s">
        <v>641</v>
      </c>
      <c r="D51" s="791" t="s">
        <v>642</v>
      </c>
      <c r="E51" s="791" t="s">
        <v>643</v>
      </c>
      <c r="F51" s="791" t="s">
        <v>644</v>
      </c>
      <c r="G51" s="803" t="s">
        <v>645</v>
      </c>
      <c r="H51" s="795" t="s">
        <v>646</v>
      </c>
      <c r="I51" s="803" t="s">
        <v>647</v>
      </c>
      <c r="J51" s="803" t="s">
        <v>647</v>
      </c>
      <c r="K51" s="803" t="s">
        <v>648</v>
      </c>
      <c r="L51" s="803" t="s">
        <v>647</v>
      </c>
      <c r="M51" s="791" t="s">
        <v>649</v>
      </c>
      <c r="N51" s="791" t="s">
        <v>650</v>
      </c>
      <c r="O51" s="793" t="s">
        <v>651</v>
      </c>
      <c r="P51" s="793" t="s">
        <v>652</v>
      </c>
      <c r="Q51" s="793" t="s">
        <v>653</v>
      </c>
      <c r="R51" s="794" t="s">
        <v>459</v>
      </c>
      <c r="S51" s="720"/>
      <c r="T51" s="720"/>
      <c r="U51" s="721"/>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row>
    <row r="52" spans="1:57" ht="60" x14ac:dyDescent="0.2">
      <c r="A52" s="800"/>
      <c r="B52" s="781" t="s">
        <v>654</v>
      </c>
      <c r="C52" s="782" t="s">
        <v>655</v>
      </c>
      <c r="D52" s="781" t="s">
        <v>656</v>
      </c>
      <c r="E52" s="781" t="s">
        <v>657</v>
      </c>
      <c r="F52" s="781" t="s">
        <v>657</v>
      </c>
      <c r="G52" s="786" t="s">
        <v>657</v>
      </c>
      <c r="H52" s="784" t="s">
        <v>658</v>
      </c>
      <c r="I52" s="786" t="s">
        <v>659</v>
      </c>
      <c r="J52" s="786" t="s">
        <v>659</v>
      </c>
      <c r="K52" s="786" t="s">
        <v>659</v>
      </c>
      <c r="L52" s="786" t="s">
        <v>659</v>
      </c>
      <c r="M52" s="781" t="s">
        <v>657</v>
      </c>
      <c r="N52" s="781" t="s">
        <v>660</v>
      </c>
      <c r="O52" s="720" t="s">
        <v>661</v>
      </c>
      <c r="P52" s="720" t="s">
        <v>661</v>
      </c>
      <c r="Q52" s="720" t="s">
        <v>662</v>
      </c>
      <c r="R52" s="783" t="s">
        <v>663</v>
      </c>
      <c r="S52" s="720"/>
      <c r="T52" s="720"/>
      <c r="U52" s="721"/>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row>
    <row r="53" spans="1:57" ht="36" x14ac:dyDescent="0.2">
      <c r="A53" s="800"/>
      <c r="B53" s="781" t="s">
        <v>664</v>
      </c>
      <c r="C53" s="782" t="s">
        <v>665</v>
      </c>
      <c r="D53" s="781" t="s">
        <v>666</v>
      </c>
      <c r="E53" s="781" t="s">
        <v>666</v>
      </c>
      <c r="F53" s="781" t="s">
        <v>666</v>
      </c>
      <c r="G53" s="786" t="s">
        <v>666</v>
      </c>
      <c r="H53" s="784" t="s">
        <v>667</v>
      </c>
      <c r="I53" s="786" t="s">
        <v>666</v>
      </c>
      <c r="J53" s="786" t="s">
        <v>666</v>
      </c>
      <c r="K53" s="786" t="s">
        <v>666</v>
      </c>
      <c r="L53" s="786" t="s">
        <v>668</v>
      </c>
      <c r="M53" s="781" t="s">
        <v>666</v>
      </c>
      <c r="N53" s="781" t="s">
        <v>669</v>
      </c>
      <c r="O53" s="720" t="s">
        <v>666</v>
      </c>
      <c r="P53" s="720" t="s">
        <v>670</v>
      </c>
      <c r="Q53" s="720" t="s">
        <v>666</v>
      </c>
      <c r="R53" s="783" t="s">
        <v>666</v>
      </c>
      <c r="S53" s="720"/>
      <c r="T53" s="720"/>
      <c r="U53" s="721"/>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row>
    <row r="54" spans="1:57" ht="24" x14ac:dyDescent="0.2">
      <c r="A54" s="800"/>
      <c r="B54" s="781"/>
      <c r="C54" s="782" t="s">
        <v>666</v>
      </c>
      <c r="D54" s="781" t="s">
        <v>671</v>
      </c>
      <c r="E54" s="781" t="s">
        <v>671</v>
      </c>
      <c r="F54" s="781" t="s">
        <v>671</v>
      </c>
      <c r="G54" s="786" t="s">
        <v>671</v>
      </c>
      <c r="H54" s="784" t="s">
        <v>672</v>
      </c>
      <c r="I54" s="786" t="s">
        <v>668</v>
      </c>
      <c r="J54" s="786" t="s">
        <v>668</v>
      </c>
      <c r="K54" s="786" t="s">
        <v>673</v>
      </c>
      <c r="L54" s="786" t="s">
        <v>671</v>
      </c>
      <c r="M54" s="781" t="s">
        <v>673</v>
      </c>
      <c r="N54" s="781" t="s">
        <v>674</v>
      </c>
      <c r="O54" s="720" t="s">
        <v>668</v>
      </c>
      <c r="P54" s="720" t="s">
        <v>666</v>
      </c>
      <c r="Q54" s="720" t="s">
        <v>673</v>
      </c>
      <c r="R54" s="783" t="s">
        <v>668</v>
      </c>
      <c r="S54" s="720"/>
      <c r="T54" s="720"/>
      <c r="U54" s="721"/>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row>
    <row r="55" spans="1:57" ht="24" x14ac:dyDescent="0.2">
      <c r="A55" s="800"/>
      <c r="B55" s="781"/>
      <c r="C55" s="782" t="s">
        <v>675</v>
      </c>
      <c r="D55" s="781" t="s">
        <v>673</v>
      </c>
      <c r="E55" s="781" t="s">
        <v>673</v>
      </c>
      <c r="F55" s="781" t="s">
        <v>668</v>
      </c>
      <c r="G55" s="786" t="s">
        <v>668</v>
      </c>
      <c r="H55" s="784" t="s">
        <v>545</v>
      </c>
      <c r="I55" s="786" t="s">
        <v>669</v>
      </c>
      <c r="J55" s="786" t="s">
        <v>673</v>
      </c>
      <c r="K55" s="786"/>
      <c r="L55" s="786"/>
      <c r="M55" s="781" t="s">
        <v>676</v>
      </c>
      <c r="N55" s="781" t="s">
        <v>668</v>
      </c>
      <c r="O55" s="720" t="s">
        <v>673</v>
      </c>
      <c r="P55" s="720"/>
      <c r="Q55" s="720" t="s">
        <v>668</v>
      </c>
      <c r="R55" s="783" t="s">
        <v>673</v>
      </c>
      <c r="S55" s="720"/>
      <c r="T55" s="720"/>
      <c r="U55" s="721"/>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row>
    <row r="56" spans="1:57" ht="36" x14ac:dyDescent="0.2">
      <c r="A56" s="799" t="s">
        <v>677</v>
      </c>
      <c r="B56" s="791" t="s">
        <v>678</v>
      </c>
      <c r="C56" s="792" t="s">
        <v>679</v>
      </c>
      <c r="D56" s="791" t="s">
        <v>680</v>
      </c>
      <c r="E56" s="791" t="s">
        <v>681</v>
      </c>
      <c r="F56" s="791" t="s">
        <v>682</v>
      </c>
      <c r="G56" s="803" t="s">
        <v>683</v>
      </c>
      <c r="H56" s="795" t="s">
        <v>684</v>
      </c>
      <c r="I56" s="803" t="s">
        <v>683</v>
      </c>
      <c r="J56" s="803" t="s">
        <v>683</v>
      </c>
      <c r="K56" s="803" t="s">
        <v>683</v>
      </c>
      <c r="L56" s="803" t="s">
        <v>683</v>
      </c>
      <c r="M56" s="791" t="s">
        <v>680</v>
      </c>
      <c r="N56" s="791" t="s">
        <v>679</v>
      </c>
      <c r="O56" s="795" t="s">
        <v>685</v>
      </c>
      <c r="P56" s="795" t="s">
        <v>685</v>
      </c>
      <c r="Q56" s="795" t="s">
        <v>685</v>
      </c>
      <c r="R56" s="796" t="s">
        <v>680</v>
      </c>
      <c r="S56" s="720"/>
      <c r="T56" s="720"/>
      <c r="U56" s="721"/>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row>
    <row r="57" spans="1:57" ht="24" x14ac:dyDescent="0.2">
      <c r="A57" s="800"/>
      <c r="B57" s="781" t="s">
        <v>686</v>
      </c>
      <c r="C57" s="786" t="s">
        <v>687</v>
      </c>
      <c r="D57" s="781" t="s">
        <v>687</v>
      </c>
      <c r="E57" s="781" t="s">
        <v>687</v>
      </c>
      <c r="F57" s="781" t="s">
        <v>687</v>
      </c>
      <c r="G57" s="786" t="s">
        <v>687</v>
      </c>
      <c r="H57" s="784" t="s">
        <v>687</v>
      </c>
      <c r="I57" s="786" t="s">
        <v>687</v>
      </c>
      <c r="J57" s="786" t="s">
        <v>687</v>
      </c>
      <c r="K57" s="786" t="s">
        <v>687</v>
      </c>
      <c r="L57" s="786" t="s">
        <v>687</v>
      </c>
      <c r="M57" s="781" t="s">
        <v>687</v>
      </c>
      <c r="N57" s="781" t="s">
        <v>687</v>
      </c>
      <c r="O57" s="784" t="s">
        <v>712</v>
      </c>
      <c r="P57" s="784" t="s">
        <v>688</v>
      </c>
      <c r="Q57" s="784" t="s">
        <v>688</v>
      </c>
      <c r="R57" s="785" t="s">
        <v>688</v>
      </c>
      <c r="S57" s="720"/>
      <c r="T57" s="720"/>
      <c r="U57" s="721"/>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row>
    <row r="58" spans="1:57" ht="24" x14ac:dyDescent="0.2">
      <c r="A58" s="799" t="s">
        <v>689</v>
      </c>
      <c r="B58" s="791" t="s">
        <v>700</v>
      </c>
      <c r="C58" s="792" t="s">
        <v>690</v>
      </c>
      <c r="D58" s="791" t="s">
        <v>682</v>
      </c>
      <c r="E58" s="791" t="s">
        <v>681</v>
      </c>
      <c r="F58" s="791" t="s">
        <v>681</v>
      </c>
      <c r="G58" s="803" t="s">
        <v>682</v>
      </c>
      <c r="H58" s="795" t="s">
        <v>682</v>
      </c>
      <c r="I58" s="803" t="s">
        <v>681</v>
      </c>
      <c r="J58" s="803" t="s">
        <v>682</v>
      </c>
      <c r="K58" s="803" t="s">
        <v>682</v>
      </c>
      <c r="L58" s="803" t="s">
        <v>682</v>
      </c>
      <c r="M58" s="791" t="s">
        <v>682</v>
      </c>
      <c r="N58" s="791" t="s">
        <v>691</v>
      </c>
      <c r="O58" s="795" t="s">
        <v>685</v>
      </c>
      <c r="P58" s="795" t="s">
        <v>685</v>
      </c>
      <c r="Q58" s="795" t="s">
        <v>682</v>
      </c>
      <c r="R58" s="796" t="s">
        <v>680</v>
      </c>
      <c r="S58" s="720"/>
      <c r="T58" s="720"/>
      <c r="U58" s="721"/>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row>
    <row r="59" spans="1:57" ht="24" x14ac:dyDescent="0.2">
      <c r="A59" s="800"/>
      <c r="B59" s="781" t="s">
        <v>692</v>
      </c>
      <c r="C59" s="782" t="s">
        <v>693</v>
      </c>
      <c r="D59" s="781" t="s">
        <v>693</v>
      </c>
      <c r="E59" s="781" t="s">
        <v>694</v>
      </c>
      <c r="F59" s="781" t="s">
        <v>693</v>
      </c>
      <c r="G59" s="786" t="s">
        <v>694</v>
      </c>
      <c r="H59" s="784" t="s">
        <v>694</v>
      </c>
      <c r="I59" s="786" t="s">
        <v>694</v>
      </c>
      <c r="J59" s="786" t="s">
        <v>693</v>
      </c>
      <c r="K59" s="786" t="s">
        <v>693</v>
      </c>
      <c r="L59" s="786" t="s">
        <v>695</v>
      </c>
      <c r="M59" s="781" t="s">
        <v>694</v>
      </c>
      <c r="N59" s="781" t="s">
        <v>693</v>
      </c>
      <c r="O59" s="720" t="s">
        <v>693</v>
      </c>
      <c r="P59" s="720" t="s">
        <v>694</v>
      </c>
      <c r="Q59" s="720" t="s">
        <v>695</v>
      </c>
      <c r="R59" s="783" t="s">
        <v>693</v>
      </c>
      <c r="S59" s="720"/>
      <c r="T59" s="720"/>
      <c r="U59" s="721"/>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row>
    <row r="60" spans="1:57" ht="24" x14ac:dyDescent="0.2">
      <c r="A60" s="800"/>
      <c r="B60" s="781" t="s">
        <v>696</v>
      </c>
      <c r="C60" s="782" t="s">
        <v>695</v>
      </c>
      <c r="D60" s="781" t="s">
        <v>694</v>
      </c>
      <c r="E60" s="781" t="s">
        <v>695</v>
      </c>
      <c r="F60" s="781" t="s">
        <v>694</v>
      </c>
      <c r="G60" s="786" t="s">
        <v>695</v>
      </c>
      <c r="H60" s="784" t="s">
        <v>695</v>
      </c>
      <c r="I60" s="786" t="s">
        <v>693</v>
      </c>
      <c r="J60" s="786" t="s">
        <v>694</v>
      </c>
      <c r="K60" s="786" t="s">
        <v>694</v>
      </c>
      <c r="L60" s="786" t="s">
        <v>693</v>
      </c>
      <c r="M60" s="781" t="s">
        <v>695</v>
      </c>
      <c r="N60" s="781" t="s">
        <v>694</v>
      </c>
      <c r="O60" s="720" t="s">
        <v>694</v>
      </c>
      <c r="P60" s="720" t="s">
        <v>695</v>
      </c>
      <c r="Q60" s="720" t="s">
        <v>693</v>
      </c>
      <c r="R60" s="783" t="s">
        <v>694</v>
      </c>
      <c r="S60" s="720"/>
      <c r="T60" s="720"/>
      <c r="U60" s="721"/>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row>
    <row r="61" spans="1:57" ht="24" x14ac:dyDescent="0.2">
      <c r="A61" s="800"/>
      <c r="B61" s="781" t="s">
        <v>686</v>
      </c>
      <c r="C61" s="782" t="s">
        <v>697</v>
      </c>
      <c r="D61" s="781" t="s">
        <v>698</v>
      </c>
      <c r="E61" s="781" t="s">
        <v>698</v>
      </c>
      <c r="F61" s="781" t="s">
        <v>698</v>
      </c>
      <c r="G61" s="786" t="s">
        <v>698</v>
      </c>
      <c r="H61" s="784" t="s">
        <v>698</v>
      </c>
      <c r="I61" s="786" t="s">
        <v>698</v>
      </c>
      <c r="J61" s="786" t="s">
        <v>698</v>
      </c>
      <c r="K61" s="786" t="s">
        <v>698</v>
      </c>
      <c r="L61" s="786" t="s">
        <v>698</v>
      </c>
      <c r="M61" s="781" t="s">
        <v>698</v>
      </c>
      <c r="N61" s="781" t="s">
        <v>698</v>
      </c>
      <c r="O61" s="720" t="s">
        <v>698</v>
      </c>
      <c r="P61" s="720" t="s">
        <v>698</v>
      </c>
      <c r="Q61" s="720" t="s">
        <v>698</v>
      </c>
      <c r="R61" s="783" t="s">
        <v>698</v>
      </c>
      <c r="S61" s="720"/>
      <c r="T61" s="720"/>
      <c r="U61" s="721"/>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row>
    <row r="62" spans="1:57" x14ac:dyDescent="0.2">
      <c r="A62" s="799" t="s">
        <v>699</v>
      </c>
      <c r="B62" s="791" t="s">
        <v>700</v>
      </c>
      <c r="C62" s="792" t="s">
        <v>679</v>
      </c>
      <c r="D62" s="791" t="s">
        <v>701</v>
      </c>
      <c r="E62" s="791" t="s">
        <v>702</v>
      </c>
      <c r="F62" s="791" t="s">
        <v>703</v>
      </c>
      <c r="G62" s="803" t="s">
        <v>702</v>
      </c>
      <c r="H62" s="795" t="s">
        <v>702</v>
      </c>
      <c r="I62" s="803" t="s">
        <v>703</v>
      </c>
      <c r="J62" s="803" t="s">
        <v>702</v>
      </c>
      <c r="K62" s="803" t="s">
        <v>703</v>
      </c>
      <c r="L62" s="803" t="s">
        <v>704</v>
      </c>
      <c r="M62" s="791" t="s">
        <v>701</v>
      </c>
      <c r="N62" s="791" t="s">
        <v>705</v>
      </c>
      <c r="O62" s="793" t="s">
        <v>703</v>
      </c>
      <c r="P62" s="793" t="s">
        <v>701</v>
      </c>
      <c r="Q62" s="793" t="s">
        <v>703</v>
      </c>
      <c r="R62" s="794" t="s">
        <v>705</v>
      </c>
      <c r="S62" s="720"/>
      <c r="T62" s="720"/>
      <c r="U62" s="721"/>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row>
    <row r="63" spans="1:57" ht="36" x14ac:dyDescent="0.2">
      <c r="A63" s="800"/>
      <c r="B63" s="781" t="s">
        <v>710</v>
      </c>
      <c r="C63" s="782" t="s">
        <v>706</v>
      </c>
      <c r="D63" s="781" t="s">
        <v>706</v>
      </c>
      <c r="E63" s="781" t="s">
        <v>706</v>
      </c>
      <c r="F63" s="781" t="s">
        <v>706</v>
      </c>
      <c r="G63" s="786" t="s">
        <v>706</v>
      </c>
      <c r="H63" s="784" t="s">
        <v>706</v>
      </c>
      <c r="I63" s="786" t="s">
        <v>706</v>
      </c>
      <c r="J63" s="786" t="s">
        <v>706</v>
      </c>
      <c r="K63" s="786" t="s">
        <v>706</v>
      </c>
      <c r="L63" s="786" t="s">
        <v>706</v>
      </c>
      <c r="M63" s="781" t="s">
        <v>706</v>
      </c>
      <c r="N63" s="781" t="s">
        <v>707</v>
      </c>
      <c r="O63" s="720" t="s">
        <v>707</v>
      </c>
      <c r="P63" s="720" t="s">
        <v>707</v>
      </c>
      <c r="Q63" s="720" t="s">
        <v>707</v>
      </c>
      <c r="R63" s="783" t="s">
        <v>707</v>
      </c>
      <c r="S63" s="720"/>
      <c r="T63" s="720"/>
      <c r="U63" s="721"/>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row>
    <row r="64" spans="1:57" ht="24.75" thickBot="1" x14ac:dyDescent="0.25">
      <c r="A64" s="801"/>
      <c r="B64" s="787" t="s">
        <v>686</v>
      </c>
      <c r="C64" s="788" t="s">
        <v>697</v>
      </c>
      <c r="D64" s="787" t="s">
        <v>708</v>
      </c>
      <c r="E64" s="787" t="s">
        <v>708</v>
      </c>
      <c r="F64" s="787" t="s">
        <v>708</v>
      </c>
      <c r="G64" s="804" t="s">
        <v>708</v>
      </c>
      <c r="H64" s="805" t="s">
        <v>698</v>
      </c>
      <c r="I64" s="804" t="s">
        <v>708</v>
      </c>
      <c r="J64" s="804" t="s">
        <v>708</v>
      </c>
      <c r="K64" s="804" t="s">
        <v>708</v>
      </c>
      <c r="L64" s="804" t="s">
        <v>708</v>
      </c>
      <c r="M64" s="787" t="s">
        <v>708</v>
      </c>
      <c r="N64" s="787" t="s">
        <v>698</v>
      </c>
      <c r="O64" s="789" t="s">
        <v>698</v>
      </c>
      <c r="P64" s="789" t="s">
        <v>698</v>
      </c>
      <c r="Q64" s="789" t="s">
        <v>698</v>
      </c>
      <c r="R64" s="790" t="s">
        <v>698</v>
      </c>
      <c r="S64" s="720"/>
      <c r="T64" s="720"/>
      <c r="U64" s="721"/>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row>
    <row r="65" spans="1:54" ht="14.25" x14ac:dyDescent="0.2">
      <c r="A65" s="802" t="s">
        <v>636</v>
      </c>
      <c r="B65" s="726" t="s">
        <v>637</v>
      </c>
      <c r="C65" s="711"/>
      <c r="D65" s="718"/>
      <c r="E65" s="718"/>
      <c r="F65" s="718"/>
      <c r="G65" s="719"/>
      <c r="H65" s="719"/>
      <c r="I65" s="719"/>
      <c r="J65" s="719"/>
      <c r="K65" s="719"/>
      <c r="L65" s="719"/>
      <c r="M65" s="719"/>
      <c r="N65" s="719"/>
      <c r="O65" s="719"/>
      <c r="P65" s="719"/>
      <c r="Q65" s="719"/>
      <c r="R65" s="719"/>
      <c r="S65" s="720"/>
      <c r="T65" s="720"/>
      <c r="U65" s="721"/>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row>
    <row r="66" spans="1:54" ht="15" x14ac:dyDescent="0.25">
      <c r="A66" s="797" t="s">
        <v>713</v>
      </c>
      <c r="B66" s="591" t="s">
        <v>711</v>
      </c>
      <c r="C66" s="716"/>
      <c r="D66" s="715"/>
      <c r="E66" s="715"/>
      <c r="F66" s="715"/>
      <c r="G66" s="713"/>
      <c r="H66" s="713"/>
      <c r="I66" s="713"/>
      <c r="J66" s="713"/>
      <c r="K66" s="713"/>
      <c r="L66" s="713"/>
      <c r="M66" s="717"/>
      <c r="N66" s="717"/>
      <c r="O66" s="717"/>
      <c r="P66" s="7"/>
      <c r="Q66" s="717"/>
      <c r="R66" s="717"/>
      <c r="S66" s="717"/>
      <c r="T66" s="717"/>
      <c r="U66" s="721"/>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row>
    <row r="67" spans="1:54" x14ac:dyDescent="0.2">
      <c r="A67" s="724"/>
      <c r="B67" s="726"/>
      <c r="C67" s="726"/>
      <c r="D67" s="726"/>
      <c r="E67" s="726"/>
      <c r="F67" s="726"/>
      <c r="G67" s="726"/>
      <c r="H67" s="726"/>
      <c r="I67" s="726"/>
      <c r="J67" s="726"/>
      <c r="K67" s="726"/>
      <c r="L67" s="726"/>
      <c r="M67" s="721"/>
      <c r="N67" s="721"/>
      <c r="O67" s="721"/>
      <c r="P67" s="721"/>
      <c r="Q67" s="721"/>
      <c r="R67" s="721"/>
      <c r="S67" s="721"/>
      <c r="T67" s="721"/>
      <c r="U67" s="721"/>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row>
    <row r="68" spans="1:54" x14ac:dyDescent="0.2">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row>
    <row r="69" spans="1:54" x14ac:dyDescent="0.2">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row>
    <row r="70" spans="1:54" x14ac:dyDescent="0.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row>
    <row r="71" spans="1:54" x14ac:dyDescent="0.2">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row>
    <row r="72" spans="1:54" x14ac:dyDescent="0.2">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row>
    <row r="73" spans="1:54" x14ac:dyDescent="0.2">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row>
    <row r="74" spans="1:54" x14ac:dyDescent="0.2">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row>
    <row r="75" spans="1:54" x14ac:dyDescent="0.2">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row>
    <row r="76" spans="1:54" x14ac:dyDescent="0.2">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row>
    <row r="77" spans="1:54" x14ac:dyDescent="0.2">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row>
    <row r="78" spans="1:54" x14ac:dyDescent="0.2">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row>
    <row r="79" spans="1:54" x14ac:dyDescent="0.2">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row>
    <row r="80" spans="1:54" x14ac:dyDescent="0.2">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row>
    <row r="81" spans="13:54" x14ac:dyDescent="0.2">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row>
    <row r="82" spans="13:54" x14ac:dyDescent="0.2">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row>
    <row r="83" spans="13:54" x14ac:dyDescent="0.2">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row>
    <row r="84" spans="13:54" x14ac:dyDescent="0.2">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row>
    <row r="85" spans="13:54" x14ac:dyDescent="0.2">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row>
    <row r="86" spans="13:54" x14ac:dyDescent="0.2">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row>
    <row r="87" spans="13:54" x14ac:dyDescent="0.2">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row>
    <row r="88" spans="13:54" x14ac:dyDescent="0.2">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row>
    <row r="89" spans="13:54" x14ac:dyDescent="0.2">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row>
    <row r="90" spans="13:54" x14ac:dyDescent="0.2">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row>
    <row r="91" spans="13:54" x14ac:dyDescent="0.2">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row>
    <row r="92" spans="13:54" x14ac:dyDescent="0.2">
      <c r="M92" s="7"/>
      <c r="N92" s="7"/>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row>
    <row r="93" spans="13:54" x14ac:dyDescent="0.2">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row>
    <row r="94" spans="13:54" x14ac:dyDescent="0.2">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row>
    <row r="95" spans="13:54" x14ac:dyDescent="0.2">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row>
    <row r="96" spans="13:54" x14ac:dyDescent="0.2">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row>
    <row r="97" spans="13:54" x14ac:dyDescent="0.2">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row>
    <row r="98" spans="13:54" x14ac:dyDescent="0.2">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row>
    <row r="99" spans="13:54" x14ac:dyDescent="0.2">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row>
    <row r="100" spans="13:54" x14ac:dyDescent="0.2">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row>
    <row r="101" spans="13:54" x14ac:dyDescent="0.2">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row>
    <row r="102" spans="13:54" x14ac:dyDescent="0.2">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row>
    <row r="103" spans="13:54" x14ac:dyDescent="0.2">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row>
    <row r="104" spans="13:54" x14ac:dyDescent="0.2">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row>
    <row r="105" spans="13:54" x14ac:dyDescent="0.2">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row>
    <row r="106" spans="13:54" x14ac:dyDescent="0.2">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row>
    <row r="107" spans="13:54" x14ac:dyDescent="0.2">
      <c r="S107" s="7"/>
      <c r="T107" s="7"/>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row>
    <row r="108" spans="13:54" x14ac:dyDescent="0.2">
      <c r="S108" s="7"/>
      <c r="T108" s="7"/>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row>
    <row r="109" spans="13:54" x14ac:dyDescent="0.2">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row>
    <row r="110" spans="13:54" x14ac:dyDescent="0.2">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row>
    <row r="111" spans="13:54" x14ac:dyDescent="0.2">
      <c r="S111" s="7"/>
      <c r="T111" s="7"/>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row>
    <row r="112" spans="13:54" x14ac:dyDescent="0.2">
      <c r="S112" s="7"/>
      <c r="T112" s="7"/>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row>
    <row r="113" spans="20:54" x14ac:dyDescent="0.2">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row>
    <row r="114" spans="20:54" x14ac:dyDescent="0.2">
      <c r="T114" s="7"/>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row>
    <row r="115" spans="20:54" x14ac:dyDescent="0.2">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row>
    <row r="116" spans="20:54" x14ac:dyDescent="0.2">
      <c r="T116" s="7"/>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row>
    <row r="117" spans="20:54" x14ac:dyDescent="0.2">
      <c r="T117" s="7"/>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row>
    <row r="118" spans="20:54" x14ac:dyDescent="0.2">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row>
    <row r="119" spans="20:54" x14ac:dyDescent="0.2">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row>
    <row r="120" spans="20:54" x14ac:dyDescent="0.2">
      <c r="T120" s="7"/>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row>
    <row r="121" spans="20:54" x14ac:dyDescent="0.2">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row>
    <row r="122" spans="20:54" x14ac:dyDescent="0.2">
      <c r="T122" s="7"/>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row>
    <row r="123" spans="20:54" x14ac:dyDescent="0.2">
      <c r="T123" s="7"/>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row>
    <row r="124" spans="20:54" x14ac:dyDescent="0.2">
      <c r="AC124" s="12"/>
      <c r="AD124" s="93"/>
      <c r="AE124" s="93"/>
      <c r="AF124" s="93"/>
      <c r="AG124" s="93"/>
      <c r="AH124" s="7"/>
      <c r="AI124" s="7"/>
      <c r="AJ124" s="7"/>
      <c r="AK124" s="7"/>
      <c r="AL124" s="7"/>
      <c r="AM124" s="7"/>
      <c r="AN124" s="7"/>
      <c r="AO124" s="7"/>
      <c r="AP124" s="7"/>
      <c r="AQ124" s="7"/>
      <c r="AR124" s="7"/>
      <c r="AS124" s="7"/>
      <c r="AT124" s="7"/>
      <c r="AU124" s="7"/>
      <c r="AV124" s="7"/>
      <c r="AW124" s="7"/>
      <c r="AX124" s="7"/>
      <c r="AY124" s="7"/>
      <c r="AZ124" s="7"/>
      <c r="BA124" s="7"/>
      <c r="BB124" s="7"/>
    </row>
    <row r="125" spans="20:54" x14ac:dyDescent="0.2">
      <c r="AC125" s="12"/>
      <c r="AD125" s="93"/>
      <c r="AE125" s="93"/>
      <c r="AF125" s="93"/>
      <c r="AG125" s="93"/>
      <c r="AH125" s="7"/>
      <c r="AI125" s="7"/>
      <c r="AJ125" s="7"/>
      <c r="AK125" s="7"/>
      <c r="AL125" s="7"/>
      <c r="AM125" s="7"/>
      <c r="AN125" s="7"/>
      <c r="AO125" s="7"/>
      <c r="AP125" s="7"/>
      <c r="AQ125" s="7"/>
      <c r="AR125" s="7"/>
      <c r="AS125" s="7"/>
      <c r="AT125" s="7"/>
      <c r="AU125" s="7"/>
      <c r="AV125" s="7"/>
      <c r="AW125" s="7"/>
      <c r="AX125" s="7"/>
      <c r="AY125" s="7"/>
      <c r="AZ125" s="7"/>
      <c r="BA125" s="7"/>
      <c r="BB125" s="7"/>
    </row>
    <row r="126" spans="20:54" x14ac:dyDescent="0.2">
      <c r="AE126" s="12"/>
      <c r="AF126" s="93"/>
      <c r="AG126" s="93"/>
      <c r="AH126" s="93"/>
      <c r="AI126" s="93"/>
      <c r="AJ126" s="7"/>
      <c r="AK126" s="7"/>
      <c r="AL126" s="7"/>
      <c r="AM126" s="7"/>
      <c r="AN126" s="7"/>
      <c r="AO126" s="7"/>
      <c r="AP126" s="7"/>
      <c r="AQ126" s="7"/>
      <c r="AR126" s="7"/>
      <c r="AS126" s="7"/>
      <c r="AT126" s="7"/>
      <c r="AU126" s="7"/>
      <c r="AV126" s="7"/>
      <c r="AW126" s="7"/>
      <c r="AX126" s="7"/>
      <c r="AY126" s="7"/>
      <c r="AZ126" s="7"/>
      <c r="BA126" s="7"/>
      <c r="BB126" s="7"/>
    </row>
    <row r="127" spans="20:54" x14ac:dyDescent="0.2">
      <c r="AE127" s="12"/>
      <c r="AF127" s="93"/>
      <c r="AG127" s="93"/>
      <c r="AH127" s="93"/>
      <c r="AI127" s="93"/>
      <c r="AJ127" s="7"/>
      <c r="AK127" s="7"/>
      <c r="AL127" s="7"/>
      <c r="AM127" s="7"/>
      <c r="AN127" s="7"/>
      <c r="AO127" s="7"/>
      <c r="AP127" s="7"/>
      <c r="AQ127" s="7"/>
      <c r="AR127" s="7"/>
      <c r="AS127" s="7"/>
      <c r="AT127" s="7"/>
      <c r="AU127" s="7"/>
      <c r="AV127" s="7"/>
      <c r="AW127" s="7"/>
      <c r="AX127" s="7"/>
      <c r="AY127" s="7"/>
      <c r="AZ127" s="7"/>
      <c r="BA127" s="7"/>
      <c r="BB127" s="7"/>
    </row>
    <row r="128" spans="20:54" x14ac:dyDescent="0.2">
      <c r="AE128" s="12"/>
      <c r="AF128" s="93"/>
      <c r="AG128" s="93"/>
      <c r="AH128" s="93"/>
      <c r="AI128" s="93"/>
      <c r="AJ128" s="7"/>
      <c r="AK128" s="7"/>
      <c r="AL128" s="7"/>
      <c r="AM128" s="7"/>
      <c r="AN128" s="7"/>
      <c r="AO128" s="7"/>
      <c r="AP128" s="7"/>
      <c r="AQ128" s="7"/>
      <c r="AR128" s="7"/>
      <c r="AS128" s="7"/>
      <c r="AT128" s="7"/>
      <c r="AU128" s="7"/>
      <c r="AV128" s="7"/>
      <c r="AW128" s="7"/>
      <c r="AX128" s="7"/>
      <c r="AY128" s="7"/>
      <c r="AZ128" s="7"/>
      <c r="BA128" s="7"/>
      <c r="BB128" s="7"/>
    </row>
  </sheetData>
  <sheetProtection algorithmName="SHA-512" hashValue="lKWzi/7lorfGS/AY/zuVBQiFj5+jLtGATaVnZ5M47NSnaZl3842/cvlXywGP5hYBCz+5Ta7m2taRBadMgsC/ZQ==" saltValue="edTU0Tzhu250fayNbWflgg==" spinCount="100000" sheet="1" objects="1" scenarios="1"/>
  <mergeCells count="10">
    <mergeCell ref="B1:V1"/>
    <mergeCell ref="AW1:BB1"/>
    <mergeCell ref="AE2:AL2"/>
    <mergeCell ref="W1:AM1"/>
    <mergeCell ref="AN1:AV1"/>
    <mergeCell ref="B2:J2"/>
    <mergeCell ref="K2:S2"/>
    <mergeCell ref="W2:AD2"/>
    <mergeCell ref="AN2:AQ2"/>
    <mergeCell ref="AR2:AU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47B-0935-41C8-A496-02063F2B662D}">
  <dimension ref="A1:V45"/>
  <sheetViews>
    <sheetView showGridLines="0" workbookViewId="0">
      <selection activeCell="B46" sqref="B46"/>
    </sheetView>
  </sheetViews>
  <sheetFormatPr defaultColWidth="9.140625" defaultRowHeight="12" x14ac:dyDescent="0.2"/>
  <cols>
    <col min="1" max="1" width="35.85546875" style="13" customWidth="1"/>
    <col min="2" max="8" width="14.85546875" style="7" customWidth="1"/>
    <col min="9" max="9" width="18.28515625" style="7" bestFit="1" customWidth="1"/>
    <col min="10" max="10" width="14.85546875" style="7" hidden="1" customWidth="1"/>
    <col min="11" max="12" width="24.42578125" style="7" hidden="1" customWidth="1"/>
    <col min="13" max="13" width="4.5703125" style="7" customWidth="1"/>
    <col min="14" max="14" width="9.140625" style="7" hidden="1" customWidth="1"/>
    <col min="15" max="16" width="23" style="7" hidden="1" customWidth="1"/>
    <col min="17" max="17" width="19" style="7" hidden="1" customWidth="1"/>
    <col min="18" max="18" width="27" style="7" hidden="1" customWidth="1"/>
    <col min="19" max="19" width="23" style="7" hidden="1" customWidth="1"/>
    <col min="20" max="22" width="0" style="7" hidden="1" customWidth="1"/>
    <col min="23" max="16384" width="9.140625" style="7"/>
  </cols>
  <sheetData>
    <row r="1" spans="1:22" ht="15" customHeight="1" x14ac:dyDescent="0.2">
      <c r="A1" s="56"/>
      <c r="B1" s="864" t="s">
        <v>185</v>
      </c>
      <c r="C1" s="866"/>
      <c r="D1" s="866"/>
      <c r="E1" s="866"/>
      <c r="F1" s="866"/>
      <c r="G1" s="865"/>
      <c r="H1" s="864" t="s">
        <v>575</v>
      </c>
      <c r="I1" s="865"/>
      <c r="J1" s="84" t="s">
        <v>522</v>
      </c>
      <c r="K1" s="84"/>
      <c r="L1" s="84"/>
      <c r="O1" s="7">
        <v>3.6</v>
      </c>
      <c r="P1" s="7">
        <v>3.6</v>
      </c>
      <c r="Q1" s="7">
        <v>3.6</v>
      </c>
      <c r="R1" s="7">
        <v>3.6</v>
      </c>
      <c r="S1" s="7">
        <v>3.6</v>
      </c>
      <c r="T1" s="7">
        <v>3.6</v>
      </c>
      <c r="U1" s="7">
        <v>3.6</v>
      </c>
      <c r="V1" s="7">
        <v>3.6</v>
      </c>
    </row>
    <row r="2" spans="1:22" s="8" customFormat="1" ht="25.5" customHeight="1" x14ac:dyDescent="0.2">
      <c r="A2" s="635" t="s">
        <v>576</v>
      </c>
      <c r="B2" s="178" t="s">
        <v>577</v>
      </c>
      <c r="C2" s="184" t="s">
        <v>578</v>
      </c>
      <c r="D2" s="184" t="s">
        <v>579</v>
      </c>
      <c r="E2" s="184" t="s">
        <v>580</v>
      </c>
      <c r="F2" s="184" t="s">
        <v>581</v>
      </c>
      <c r="G2" s="174" t="s">
        <v>582</v>
      </c>
      <c r="H2" s="178" t="s">
        <v>190</v>
      </c>
      <c r="I2" s="174" t="s">
        <v>190</v>
      </c>
      <c r="J2" s="80" t="s">
        <v>527</v>
      </c>
      <c r="K2" s="80"/>
      <c r="L2" s="80"/>
    </row>
    <row r="3" spans="1:22" x14ac:dyDescent="0.2">
      <c r="A3" s="56" t="s">
        <v>562</v>
      </c>
      <c r="B3" s="179" t="s">
        <v>583</v>
      </c>
      <c r="C3" s="185" t="s">
        <v>583</v>
      </c>
      <c r="D3" s="185" t="s">
        <v>583</v>
      </c>
      <c r="E3" s="185" t="s">
        <v>583</v>
      </c>
      <c r="F3" s="185" t="s">
        <v>583</v>
      </c>
      <c r="G3" s="175" t="s">
        <v>583</v>
      </c>
      <c r="H3" s="179" t="s">
        <v>584</v>
      </c>
      <c r="I3" s="175" t="s">
        <v>585</v>
      </c>
      <c r="J3" s="173" t="s">
        <v>586</v>
      </c>
      <c r="K3" s="80" t="s">
        <v>587</v>
      </c>
      <c r="L3" s="80" t="s">
        <v>588</v>
      </c>
      <c r="O3" s="677" t="str">
        <f>B2</f>
        <v>Total Energy consumption</v>
      </c>
      <c r="P3" s="677" t="str">
        <f t="shared" ref="P3:V3" si="0">C2</f>
        <v>Renewable Electricity Use</v>
      </c>
      <c r="Q3" s="677" t="str">
        <f t="shared" si="0"/>
        <v>Renewable Fuel Use</v>
      </c>
      <c r="R3" s="677" t="str">
        <f t="shared" si="0"/>
        <v>Non-Renewable Electricity Use</v>
      </c>
      <c r="S3" s="677" t="str">
        <f t="shared" si="0"/>
        <v>Non-Renewable Fuel Use</v>
      </c>
      <c r="T3" s="677" t="str">
        <f t="shared" si="0"/>
        <v>Percentage renewable energy</v>
      </c>
      <c r="U3" s="677" t="str">
        <f t="shared" si="0"/>
        <v>Energy intensity</v>
      </c>
      <c r="V3" s="677" t="str">
        <f t="shared" si="0"/>
        <v>Energy intensity</v>
      </c>
    </row>
    <row r="4" spans="1:22" s="10" customFormat="1" x14ac:dyDescent="0.2">
      <c r="A4" s="166" t="s">
        <v>417</v>
      </c>
      <c r="B4" s="190">
        <f>B5+B29</f>
        <v>63391000</v>
      </c>
      <c r="C4" s="142">
        <f>C5+C29</f>
        <v>2506000</v>
      </c>
      <c r="D4" s="142">
        <f>D5+D29</f>
        <v>342000</v>
      </c>
      <c r="E4" s="142">
        <f>E5+E29</f>
        <v>6786000</v>
      </c>
      <c r="F4" s="142">
        <f>F5+F29</f>
        <v>53757000</v>
      </c>
      <c r="G4" s="191">
        <f t="shared" ref="G4:G37" si="1">(C4+D4)/B4</f>
        <v>4.4927513369405751E-2</v>
      </c>
      <c r="H4" s="192">
        <f>(B4-B26-B18)/J4</f>
        <v>8.9286291181418349</v>
      </c>
      <c r="I4" s="193">
        <f>(B4)/L4</f>
        <v>0.47548063320863615</v>
      </c>
      <c r="J4" s="194">
        <f>J5+J29</f>
        <v>6730596.512055208</v>
      </c>
      <c r="K4" s="194">
        <f>K5+K29</f>
        <v>337078243</v>
      </c>
      <c r="L4" s="194">
        <f>L5+L29</f>
        <v>133319835.91471466</v>
      </c>
      <c r="O4" s="678">
        <f>B4/O1</f>
        <v>17608611.111111112</v>
      </c>
      <c r="P4" s="678">
        <f t="shared" ref="P4:R4" si="2">C4/P1</f>
        <v>696111.11111111112</v>
      </c>
      <c r="Q4" s="678">
        <f t="shared" si="2"/>
        <v>95000</v>
      </c>
      <c r="R4" s="678">
        <f t="shared" si="2"/>
        <v>1885000</v>
      </c>
      <c r="S4" s="678">
        <f>F4/S1</f>
        <v>14932500</v>
      </c>
      <c r="T4" s="676">
        <f t="shared" ref="T4:V4" si="3">G4*T1</f>
        <v>0.1617390481298607</v>
      </c>
      <c r="U4" s="676">
        <f t="shared" si="3"/>
        <v>32.14306482531061</v>
      </c>
      <c r="V4" s="676">
        <f t="shared" si="3"/>
        <v>1.7117302795510903</v>
      </c>
    </row>
    <row r="5" spans="1:22" s="10" customFormat="1" x14ac:dyDescent="0.2">
      <c r="A5" s="167" t="s">
        <v>418</v>
      </c>
      <c r="B5" s="195">
        <f>SUM(C5:F5)</f>
        <v>48593000</v>
      </c>
      <c r="C5" s="143">
        <f>C6+C8+C10+C12+C14+C17+C19+C25+C27</f>
        <v>1744000</v>
      </c>
      <c r="D5" s="143">
        <f>D6+D8+D10+D12+D14+D17+D19+D25+D27</f>
        <v>342000</v>
      </c>
      <c r="E5" s="143">
        <f>E6+E8+E10+E12+E14+E17+E19+E25+E27</f>
        <v>6358000</v>
      </c>
      <c r="F5" s="143">
        <f>F6+F8+F10+F12+F14+F17+F19+F25+F27</f>
        <v>40149000</v>
      </c>
      <c r="G5" s="196">
        <f t="shared" si="1"/>
        <v>4.2927993743954888E-2</v>
      </c>
      <c r="H5" s="197">
        <f>(B5-B18-B26)/J5</f>
        <v>9.1354332755834431</v>
      </c>
      <c r="I5" s="198">
        <f>(B5)/L5</f>
        <v>0.44498650363800402</v>
      </c>
      <c r="J5" s="88">
        <f>J6+J8+J10+J12+J14+J17+J19+J25+J27</f>
        <v>4958385.512055208</v>
      </c>
      <c r="K5" s="88">
        <f>K6+K8+K10+K12+K14+K17+K19+K25+K27</f>
        <v>337078243</v>
      </c>
      <c r="L5" s="88">
        <f>L6+L8+L10+L12+L14+L17+L19+L25+L27</f>
        <v>109201064.7575288</v>
      </c>
    </row>
    <row r="6" spans="1:22" x14ac:dyDescent="0.2">
      <c r="A6" s="168" t="s">
        <v>419</v>
      </c>
      <c r="B6" s="186">
        <f>SUM(B7:B7)</f>
        <v>3547000</v>
      </c>
      <c r="C6" s="146">
        <f>SUM(C7:C7)</f>
        <v>0</v>
      </c>
      <c r="D6" s="146">
        <f>SUM(D7:D7)</f>
        <v>0</v>
      </c>
      <c r="E6" s="146">
        <f>SUM(E7:E7)</f>
        <v>0</v>
      </c>
      <c r="F6" s="146">
        <f>SUM(F7:F7)</f>
        <v>3547000</v>
      </c>
      <c r="G6" s="187">
        <f t="shared" si="1"/>
        <v>0</v>
      </c>
      <c r="H6" s="188">
        <f t="shared" ref="H6:H38" si="4">B6/J6</f>
        <v>6.3711428720257075</v>
      </c>
      <c r="I6" s="189">
        <f t="shared" ref="I6:I38" si="5">B6/L6</f>
        <v>0.13091944984303133</v>
      </c>
      <c r="J6" s="84">
        <f>SUM(J7:J7)</f>
        <v>556729</v>
      </c>
      <c r="K6" s="84">
        <f>SUM(K7:K7)</f>
        <v>0</v>
      </c>
      <c r="L6" s="84">
        <f>SUM(L7:L7)</f>
        <v>27092995.000000007</v>
      </c>
    </row>
    <row r="7" spans="1:22" x14ac:dyDescent="0.2">
      <c r="A7" s="56" t="s">
        <v>420</v>
      </c>
      <c r="B7" s="182">
        <v>3547000</v>
      </c>
      <c r="C7" s="145">
        <v>0</v>
      </c>
      <c r="D7" s="145">
        <v>0</v>
      </c>
      <c r="E7" s="145">
        <v>0</v>
      </c>
      <c r="F7" s="145">
        <v>3547000</v>
      </c>
      <c r="G7" s="27">
        <f t="shared" si="1"/>
        <v>0</v>
      </c>
      <c r="H7" s="180">
        <f t="shared" si="4"/>
        <v>6.3711428720257075</v>
      </c>
      <c r="I7" s="176">
        <f t="shared" si="5"/>
        <v>0.13091944984303133</v>
      </c>
      <c r="J7" s="90">
        <v>556729</v>
      </c>
      <c r="K7" s="90"/>
      <c r="L7" s="90">
        <v>27092995.000000007</v>
      </c>
    </row>
    <row r="8" spans="1:22" x14ac:dyDescent="0.2">
      <c r="A8" s="169" t="s">
        <v>428</v>
      </c>
      <c r="B8" s="186">
        <f>SUM(B9:B9)</f>
        <v>1303000</v>
      </c>
      <c r="C8" s="146">
        <f>SUM(C9:C9)</f>
        <v>0</v>
      </c>
      <c r="D8" s="146">
        <f>SUM(D9:D9)</f>
        <v>0</v>
      </c>
      <c r="E8" s="146">
        <f>SUM(E9:E9)</f>
        <v>751000</v>
      </c>
      <c r="F8" s="146">
        <f>SUM(F9:F9)</f>
        <v>552000</v>
      </c>
      <c r="G8" s="187">
        <f t="shared" si="1"/>
        <v>0</v>
      </c>
      <c r="H8" s="188">
        <f t="shared" si="4"/>
        <v>7.6317546592945753</v>
      </c>
      <c r="I8" s="189">
        <f t="shared" si="5"/>
        <v>0.42558542492402041</v>
      </c>
      <c r="J8" s="84">
        <f>SUM(J9:J9)</f>
        <v>170734</v>
      </c>
      <c r="K8" s="84">
        <f>SUM(K9:K9)</f>
        <v>0</v>
      </c>
      <c r="L8" s="84">
        <f>SUM(L9:L9)</f>
        <v>3061664.9999999977</v>
      </c>
      <c r="Q8" s="7">
        <v>211753</v>
      </c>
    </row>
    <row r="9" spans="1:22" x14ac:dyDescent="0.2">
      <c r="A9" s="56" t="s">
        <v>429</v>
      </c>
      <c r="B9" s="182">
        <v>1303000</v>
      </c>
      <c r="C9" s="145">
        <v>0</v>
      </c>
      <c r="D9" s="145">
        <v>0</v>
      </c>
      <c r="E9" s="145">
        <v>751000</v>
      </c>
      <c r="F9" s="145">
        <v>552000</v>
      </c>
      <c r="G9" s="27">
        <f t="shared" si="1"/>
        <v>0</v>
      </c>
      <c r="H9" s="180">
        <f t="shared" si="4"/>
        <v>7.6317546592945753</v>
      </c>
      <c r="I9" s="176">
        <f t="shared" si="5"/>
        <v>0.42558542492402041</v>
      </c>
      <c r="J9" s="90">
        <v>170734</v>
      </c>
      <c r="K9" s="90"/>
      <c r="L9" s="90">
        <v>3061664.9999999977</v>
      </c>
      <c r="Q9" s="7">
        <v>3243449</v>
      </c>
    </row>
    <row r="10" spans="1:22" x14ac:dyDescent="0.2">
      <c r="A10" s="168" t="s">
        <v>423</v>
      </c>
      <c r="B10" s="186">
        <f>SUM(B11:B11)</f>
        <v>1000</v>
      </c>
      <c r="C10" s="146">
        <f>SUM(C11:C11)</f>
        <v>0</v>
      </c>
      <c r="D10" s="146">
        <f>SUM(D11:D11)</f>
        <v>0</v>
      </c>
      <c r="E10" s="146">
        <f>SUM(E11:E11)</f>
        <v>0</v>
      </c>
      <c r="F10" s="146">
        <f>SUM(F11:F11)</f>
        <v>1000</v>
      </c>
      <c r="G10" s="187">
        <f t="shared" si="1"/>
        <v>0</v>
      </c>
      <c r="H10" s="188"/>
      <c r="I10" s="189"/>
      <c r="J10" s="84">
        <f>SUM(J11:J11)</f>
        <v>0</v>
      </c>
      <c r="K10" s="84">
        <f>SUM(K11:K11)</f>
        <v>0</v>
      </c>
      <c r="L10" s="84">
        <f>SUM(L11:L11)</f>
        <v>0</v>
      </c>
      <c r="Q10" s="7">
        <f>SUM(Q8:Q9)</f>
        <v>3455202</v>
      </c>
    </row>
    <row r="11" spans="1:22" x14ac:dyDescent="0.2">
      <c r="A11" s="56" t="s">
        <v>424</v>
      </c>
      <c r="B11" s="182">
        <v>1000</v>
      </c>
      <c r="C11" s="145">
        <v>0</v>
      </c>
      <c r="D11" s="145">
        <v>0</v>
      </c>
      <c r="E11" s="145">
        <v>0</v>
      </c>
      <c r="F11" s="145">
        <v>1000</v>
      </c>
      <c r="G11" s="27">
        <f t="shared" si="1"/>
        <v>0</v>
      </c>
      <c r="H11" s="180"/>
      <c r="I11" s="176"/>
      <c r="J11" s="90"/>
      <c r="K11" s="90"/>
      <c r="L11" s="90"/>
    </row>
    <row r="12" spans="1:22" x14ac:dyDescent="0.2">
      <c r="A12" s="168" t="s">
        <v>589</v>
      </c>
      <c r="B12" s="186">
        <f>SUM(B13)</f>
        <v>15070000</v>
      </c>
      <c r="C12" s="146">
        <f>SUM(C13)</f>
        <v>0</v>
      </c>
      <c r="D12" s="146">
        <f>SUM(D13)</f>
        <v>0</v>
      </c>
      <c r="E12" s="146">
        <f>SUM(E13)</f>
        <v>0</v>
      </c>
      <c r="F12" s="146">
        <f>SUM(F13)</f>
        <v>15070000</v>
      </c>
      <c r="G12" s="187">
        <f t="shared" si="1"/>
        <v>0</v>
      </c>
      <c r="H12" s="188">
        <f t="shared" si="4"/>
        <v>15.562763789878936</v>
      </c>
      <c r="I12" s="189">
        <f t="shared" si="5"/>
        <v>1.8055413946423509</v>
      </c>
      <c r="J12" s="84">
        <f t="shared" ref="J12:L12" si="6">J13</f>
        <v>968337</v>
      </c>
      <c r="K12" s="84">
        <f t="shared" si="6"/>
        <v>2043626</v>
      </c>
      <c r="L12" s="84">
        <f t="shared" si="6"/>
        <v>8346526.9999999795</v>
      </c>
    </row>
    <row r="13" spans="1:22" x14ac:dyDescent="0.2">
      <c r="A13" s="56" t="s">
        <v>441</v>
      </c>
      <c r="B13" s="182">
        <v>15070000</v>
      </c>
      <c r="C13" s="145">
        <v>0</v>
      </c>
      <c r="D13" s="145">
        <v>0</v>
      </c>
      <c r="E13" s="145">
        <v>0</v>
      </c>
      <c r="F13" s="145">
        <v>15070000</v>
      </c>
      <c r="G13" s="27">
        <f t="shared" si="1"/>
        <v>0</v>
      </c>
      <c r="H13" s="180">
        <f t="shared" si="4"/>
        <v>15.562763789878936</v>
      </c>
      <c r="I13" s="176">
        <f t="shared" si="5"/>
        <v>1.8055413946423509</v>
      </c>
      <c r="J13" s="90">
        <v>968337</v>
      </c>
      <c r="K13" s="90">
        <v>2043626</v>
      </c>
      <c r="L13" s="90">
        <v>8346526.9999999795</v>
      </c>
    </row>
    <row r="14" spans="1:22" x14ac:dyDescent="0.2">
      <c r="A14" s="168" t="s">
        <v>442</v>
      </c>
      <c r="B14" s="186">
        <f>SUM(B15:B16)</f>
        <v>2215000</v>
      </c>
      <c r="C14" s="146">
        <f>SUM(C15:C16)</f>
        <v>0</v>
      </c>
      <c r="D14" s="146">
        <f>SUM(D15:D16)</f>
        <v>0</v>
      </c>
      <c r="E14" s="146">
        <f>SUM(E15:E16)</f>
        <v>628000</v>
      </c>
      <c r="F14" s="146">
        <f>SUM(F15:F16)</f>
        <v>1587000</v>
      </c>
      <c r="G14" s="187">
        <f t="shared" si="1"/>
        <v>0</v>
      </c>
      <c r="H14" s="188">
        <f t="shared" si="4"/>
        <v>6.7009770485726188</v>
      </c>
      <c r="I14" s="189">
        <f t="shared" si="5"/>
        <v>0.14088518194789754</v>
      </c>
      <c r="J14" s="84">
        <f>SUM(J15:J16)</f>
        <v>330548.81160528958</v>
      </c>
      <c r="K14" s="84">
        <f>SUM(K15:K16)</f>
        <v>0</v>
      </c>
      <c r="L14" s="84">
        <f>SUM(L15:L16)</f>
        <v>15722022.496440798</v>
      </c>
    </row>
    <row r="15" spans="1:22" x14ac:dyDescent="0.2">
      <c r="A15" s="56" t="s">
        <v>443</v>
      </c>
      <c r="B15" s="182">
        <v>1490000</v>
      </c>
      <c r="C15" s="145">
        <v>0</v>
      </c>
      <c r="D15" s="145">
        <v>0</v>
      </c>
      <c r="E15" s="145">
        <v>416000</v>
      </c>
      <c r="F15" s="145">
        <v>1074000</v>
      </c>
      <c r="G15" s="27">
        <f t="shared" si="1"/>
        <v>0</v>
      </c>
      <c r="H15" s="180">
        <f t="shared" si="4"/>
        <v>6.0701906755090986</v>
      </c>
      <c r="I15" s="176">
        <f t="shared" si="5"/>
        <v>0.16861554367112996</v>
      </c>
      <c r="J15" s="90">
        <v>245461.81160528961</v>
      </c>
      <c r="K15" s="90"/>
      <c r="L15" s="90">
        <v>8836670.4964408036</v>
      </c>
    </row>
    <row r="16" spans="1:22" x14ac:dyDescent="0.2">
      <c r="A16" s="56" t="s">
        <v>444</v>
      </c>
      <c r="B16" s="182">
        <v>725000</v>
      </c>
      <c r="C16" s="145">
        <v>0</v>
      </c>
      <c r="D16" s="145">
        <v>0</v>
      </c>
      <c r="E16" s="145">
        <v>212000</v>
      </c>
      <c r="F16" s="145">
        <v>513000</v>
      </c>
      <c r="G16" s="27">
        <f t="shared" si="1"/>
        <v>0</v>
      </c>
      <c r="H16" s="180">
        <f t="shared" si="4"/>
        <v>8.5206905872812531</v>
      </c>
      <c r="I16" s="176">
        <f t="shared" si="5"/>
        <v>0.10529599648645423</v>
      </c>
      <c r="J16" s="90">
        <v>85087</v>
      </c>
      <c r="K16" s="90"/>
      <c r="L16" s="90">
        <v>6885351.9999999944</v>
      </c>
    </row>
    <row r="17" spans="1:12" x14ac:dyDescent="0.2">
      <c r="A17" s="168" t="s">
        <v>446</v>
      </c>
      <c r="B17" s="186">
        <f>B18</f>
        <v>466000</v>
      </c>
      <c r="C17" s="146">
        <f>C18</f>
        <v>0</v>
      </c>
      <c r="D17" s="146">
        <f>D18</f>
        <v>0</v>
      </c>
      <c r="E17" s="146">
        <f>E18</f>
        <v>433000</v>
      </c>
      <c r="F17" s="146">
        <f>F18</f>
        <v>33000</v>
      </c>
      <c r="G17" s="187">
        <f t="shared" si="1"/>
        <v>0</v>
      </c>
      <c r="H17" s="316">
        <f>(B17/K17)*1000</f>
        <v>4.1855804830226342</v>
      </c>
      <c r="I17" s="189">
        <f t="shared" si="5"/>
        <v>0.23911059070065058</v>
      </c>
      <c r="J17" s="84">
        <f t="shared" ref="J17:L17" si="7">J18</f>
        <v>4160.22</v>
      </c>
      <c r="K17" s="84">
        <f t="shared" si="7"/>
        <v>111334617</v>
      </c>
      <c r="L17" s="84">
        <f t="shared" si="7"/>
        <v>1948888.9999999991</v>
      </c>
    </row>
    <row r="18" spans="1:12" x14ac:dyDescent="0.2">
      <c r="A18" s="56" t="s">
        <v>447</v>
      </c>
      <c r="B18" s="182">
        <v>466000</v>
      </c>
      <c r="C18" s="145">
        <v>0</v>
      </c>
      <c r="D18" s="145">
        <v>0</v>
      </c>
      <c r="E18" s="145">
        <v>433000</v>
      </c>
      <c r="F18" s="145">
        <v>33000</v>
      </c>
      <c r="G18" s="27">
        <f t="shared" si="1"/>
        <v>0</v>
      </c>
      <c r="H18" s="317">
        <f>(B18/K18)*1000</f>
        <v>4.1855804830226342</v>
      </c>
      <c r="I18" s="176">
        <f t="shared" si="5"/>
        <v>0.23911059070065058</v>
      </c>
      <c r="J18" s="90">
        <v>4160.22</v>
      </c>
      <c r="K18" s="90">
        <v>111334617</v>
      </c>
      <c r="L18" s="90">
        <v>1948888.9999999991</v>
      </c>
    </row>
    <row r="19" spans="1:12" x14ac:dyDescent="0.2">
      <c r="A19" s="168" t="s">
        <v>432</v>
      </c>
      <c r="B19" s="186">
        <f>SUM(B20:B24)</f>
        <v>17053000</v>
      </c>
      <c r="C19" s="146">
        <f>SUM(C20:C24)</f>
        <v>669000</v>
      </c>
      <c r="D19" s="146">
        <f>SUM(D20:D24)</f>
        <v>342000</v>
      </c>
      <c r="E19" s="146">
        <f>SUM(E20:E24)</f>
        <v>4513000</v>
      </c>
      <c r="F19" s="146">
        <f>SUM(F20:F24)</f>
        <v>11528000</v>
      </c>
      <c r="G19" s="187">
        <f t="shared" si="1"/>
        <v>5.9285756171934559E-2</v>
      </c>
      <c r="H19" s="188">
        <f t="shared" si="4"/>
        <v>6.8241917256525264</v>
      </c>
      <c r="I19" s="189">
        <f t="shared" si="5"/>
        <v>0.63950109248969156</v>
      </c>
      <c r="J19" s="84">
        <f>SUM(J20:J24)</f>
        <v>2498904</v>
      </c>
      <c r="K19" s="84">
        <f>SUM(K20:K24)</f>
        <v>0</v>
      </c>
      <c r="L19" s="84">
        <f>SUM(L20:L24)</f>
        <v>26666099.871088002</v>
      </c>
    </row>
    <row r="20" spans="1:12" x14ac:dyDescent="0.2">
      <c r="A20" s="56" t="s">
        <v>478</v>
      </c>
      <c r="B20" s="182">
        <v>4389000</v>
      </c>
      <c r="C20" s="145">
        <v>232000</v>
      </c>
      <c r="D20" s="145">
        <v>122000</v>
      </c>
      <c r="E20" s="145">
        <v>894000</v>
      </c>
      <c r="F20" s="145">
        <v>3141000</v>
      </c>
      <c r="G20" s="27">
        <f t="shared" si="1"/>
        <v>8.0656185919343815E-2</v>
      </c>
      <c r="H20" s="180">
        <f t="shared" si="4"/>
        <v>3.4695652173913043</v>
      </c>
      <c r="I20" s="176">
        <f t="shared" si="5"/>
        <v>0.28636663978791616</v>
      </c>
      <c r="J20" s="90">
        <v>1265000</v>
      </c>
      <c r="K20" s="90"/>
      <c r="L20" s="90">
        <v>15326505.919999983</v>
      </c>
    </row>
    <row r="21" spans="1:12" x14ac:dyDescent="0.2">
      <c r="A21" s="56" t="s">
        <v>480</v>
      </c>
      <c r="B21" s="182">
        <v>8828000</v>
      </c>
      <c r="C21" s="145">
        <v>382000</v>
      </c>
      <c r="D21" s="145">
        <f>ROUND(123950.60060705,-3)</f>
        <v>124000</v>
      </c>
      <c r="E21" s="145">
        <v>3247000</v>
      </c>
      <c r="F21" s="145">
        <v>5075000</v>
      </c>
      <c r="G21" s="27">
        <f t="shared" si="1"/>
        <v>5.7317625736293613E-2</v>
      </c>
      <c r="H21" s="180">
        <f t="shared" si="4"/>
        <v>10.572455089820359</v>
      </c>
      <c r="I21" s="176">
        <f t="shared" si="5"/>
        <v>0.87987108513181145</v>
      </c>
      <c r="J21" s="90">
        <v>835000</v>
      </c>
      <c r="K21" s="90"/>
      <c r="L21" s="90">
        <v>10033288.00000002</v>
      </c>
    </row>
    <row r="22" spans="1:12" x14ac:dyDescent="0.2">
      <c r="A22" s="56" t="s">
        <v>438</v>
      </c>
      <c r="B22" s="182">
        <v>263000</v>
      </c>
      <c r="C22" s="145">
        <v>0</v>
      </c>
      <c r="D22" s="145">
        <v>0</v>
      </c>
      <c r="E22" s="145">
        <f>ROUND(159557.8608,-3)</f>
        <v>160000</v>
      </c>
      <c r="F22" s="145">
        <f>ROUND(103317.371463833,-3)</f>
        <v>103000</v>
      </c>
      <c r="G22" s="27">
        <f t="shared" si="1"/>
        <v>0</v>
      </c>
      <c r="H22" s="180">
        <f t="shared" si="4"/>
        <v>8.520150317480887</v>
      </c>
      <c r="I22" s="176">
        <f t="shared" si="5"/>
        <v>0.52898403103048963</v>
      </c>
      <c r="J22" s="90">
        <v>30868</v>
      </c>
      <c r="K22" s="90"/>
      <c r="L22" s="90">
        <v>497179.46964800003</v>
      </c>
    </row>
    <row r="23" spans="1:12" x14ac:dyDescent="0.2">
      <c r="A23" s="56" t="s">
        <v>434</v>
      </c>
      <c r="B23" s="182">
        <v>484000</v>
      </c>
      <c r="C23" s="145">
        <v>55000</v>
      </c>
      <c r="D23" s="145">
        <f>ROUND(96438.0906257258,-3)</f>
        <v>96000</v>
      </c>
      <c r="E23" s="145">
        <v>212000</v>
      </c>
      <c r="F23" s="145">
        <f>ROUND(119642.465662884,-3)</f>
        <v>120000</v>
      </c>
      <c r="G23" s="27">
        <f t="shared" si="1"/>
        <v>0.31198347107438018</v>
      </c>
      <c r="H23" s="180">
        <f t="shared" si="4"/>
        <v>1.3150887413187839</v>
      </c>
      <c r="I23" s="176">
        <f t="shared" si="5"/>
        <v>0.59817594789213502</v>
      </c>
      <c r="J23" s="90">
        <v>368036</v>
      </c>
      <c r="K23" s="90"/>
      <c r="L23" s="90">
        <v>809126.48144</v>
      </c>
    </row>
    <row r="24" spans="1:12" x14ac:dyDescent="0.2">
      <c r="A24" s="56" t="s">
        <v>435</v>
      </c>
      <c r="B24" s="182">
        <v>3089000</v>
      </c>
      <c r="C24" s="145">
        <v>0</v>
      </c>
      <c r="D24" s="145">
        <v>0</v>
      </c>
      <c r="E24" s="145">
        <v>0</v>
      </c>
      <c r="F24" s="145">
        <f>ROUND(3088899.2163916,-3)</f>
        <v>3089000</v>
      </c>
      <c r="G24" s="27">
        <f t="shared" si="1"/>
        <v>0</v>
      </c>
      <c r="H24" s="180"/>
      <c r="I24" s="176"/>
      <c r="J24" s="90"/>
      <c r="K24" s="90"/>
      <c r="L24" s="90"/>
    </row>
    <row r="25" spans="1:12" x14ac:dyDescent="0.2">
      <c r="A25" s="168" t="s">
        <v>448</v>
      </c>
      <c r="B25" s="186">
        <f>B26</f>
        <v>2830000</v>
      </c>
      <c r="C25" s="146">
        <f>C26</f>
        <v>1075000</v>
      </c>
      <c r="D25" s="146">
        <f>D26</f>
        <v>0</v>
      </c>
      <c r="E25" s="146">
        <f>E26</f>
        <v>33000</v>
      </c>
      <c r="F25" s="146">
        <f>F26</f>
        <v>1721000</v>
      </c>
      <c r="G25" s="187">
        <f t="shared" si="1"/>
        <v>0.37985865724381623</v>
      </c>
      <c r="H25" s="316">
        <f>(B25/K25)*1000</f>
        <v>12.650871703173893</v>
      </c>
      <c r="I25" s="189">
        <f t="shared" si="5"/>
        <v>0.12945193205016481</v>
      </c>
      <c r="J25" s="84">
        <f t="shared" ref="J25:L25" si="8">J26</f>
        <v>0</v>
      </c>
      <c r="K25" s="84">
        <f t="shared" si="8"/>
        <v>223700000</v>
      </c>
      <c r="L25" s="84">
        <f t="shared" si="8"/>
        <v>21861396.390000012</v>
      </c>
    </row>
    <row r="26" spans="1:12" x14ac:dyDescent="0.2">
      <c r="A26" s="56" t="s">
        <v>449</v>
      </c>
      <c r="B26" s="182">
        <v>2830000</v>
      </c>
      <c r="C26" s="145">
        <f>ROUND(1075336.22268,-3)</f>
        <v>1075000</v>
      </c>
      <c r="D26" s="145">
        <v>0</v>
      </c>
      <c r="E26" s="145">
        <f>ROUND(33257.82132,-3)</f>
        <v>33000</v>
      </c>
      <c r="F26" s="145">
        <f>ROUND(1720534.5317676,-3)</f>
        <v>1721000</v>
      </c>
      <c r="G26" s="27">
        <f t="shared" si="1"/>
        <v>0.37985865724381623</v>
      </c>
      <c r="H26" s="317">
        <f>(B26/K26)*1000</f>
        <v>12.650871703173893</v>
      </c>
      <c r="I26" s="176">
        <f t="shared" si="5"/>
        <v>0.12945193205016481</v>
      </c>
      <c r="J26" s="90"/>
      <c r="K26" s="90">
        <v>223700000</v>
      </c>
      <c r="L26" s="90">
        <v>21861396.390000012</v>
      </c>
    </row>
    <row r="27" spans="1:12" x14ac:dyDescent="0.2">
      <c r="A27" s="168" t="s">
        <v>450</v>
      </c>
      <c r="B27" s="186">
        <f>B28</f>
        <v>6110000</v>
      </c>
      <c r="C27" s="146">
        <f>C28</f>
        <v>0</v>
      </c>
      <c r="D27" s="146">
        <f>D28</f>
        <v>0</v>
      </c>
      <c r="E27" s="146">
        <f>E28</f>
        <v>0</v>
      </c>
      <c r="F27" s="146">
        <f>F28</f>
        <v>6110000</v>
      </c>
      <c r="G27" s="187">
        <f t="shared" si="1"/>
        <v>0</v>
      </c>
      <c r="H27" s="188">
        <f t="shared" si="4"/>
        <v>14.243337925993892</v>
      </c>
      <c r="I27" s="189">
        <f t="shared" si="5"/>
        <v>1.357334381879697</v>
      </c>
      <c r="J27" s="84">
        <f t="shared" ref="J27:L27" si="9">J28</f>
        <v>428972.48044991866</v>
      </c>
      <c r="K27" s="84">
        <f t="shared" si="9"/>
        <v>0</v>
      </c>
      <c r="L27" s="84">
        <f t="shared" si="9"/>
        <v>4501470</v>
      </c>
    </row>
    <row r="28" spans="1:12" x14ac:dyDescent="0.2">
      <c r="A28" s="56" t="s">
        <v>451</v>
      </c>
      <c r="B28" s="182">
        <v>6110000</v>
      </c>
      <c r="C28" s="145">
        <v>0</v>
      </c>
      <c r="D28" s="145">
        <v>0</v>
      </c>
      <c r="E28" s="145">
        <v>0</v>
      </c>
      <c r="F28" s="145">
        <v>6110000</v>
      </c>
      <c r="G28" s="27">
        <f t="shared" si="1"/>
        <v>0</v>
      </c>
      <c r="H28" s="180">
        <f t="shared" si="4"/>
        <v>14.243337925993892</v>
      </c>
      <c r="I28" s="176">
        <f t="shared" si="5"/>
        <v>1.357334381879697</v>
      </c>
      <c r="J28" s="90">
        <v>428972.48044991866</v>
      </c>
      <c r="K28" s="84"/>
      <c r="L28" s="90">
        <v>4501470</v>
      </c>
    </row>
    <row r="29" spans="1:12" s="10" customFormat="1" x14ac:dyDescent="0.2">
      <c r="A29" s="170" t="s">
        <v>452</v>
      </c>
      <c r="B29" s="199">
        <f>B30+B34+B37+B40</f>
        <v>14798000</v>
      </c>
      <c r="C29" s="148">
        <f>C30+C34+C37+C40</f>
        <v>762000</v>
      </c>
      <c r="D29" s="148">
        <f>D30+D34+D37+D40</f>
        <v>0</v>
      </c>
      <c r="E29" s="148">
        <f>E30+E34+E37+E40</f>
        <v>428000</v>
      </c>
      <c r="F29" s="148">
        <f>F30+F34+F37+F40</f>
        <v>13608000</v>
      </c>
      <c r="G29" s="196">
        <f t="shared" si="1"/>
        <v>5.1493445060143264E-2</v>
      </c>
      <c r="H29" s="197">
        <f>B29/J29</f>
        <v>8.350021526782081</v>
      </c>
      <c r="I29" s="198">
        <f>B29/L29</f>
        <v>0.61354701297006742</v>
      </c>
      <c r="J29" s="91">
        <f>J30+J34+J37</f>
        <v>1772211</v>
      </c>
      <c r="K29" s="91">
        <f>K30+K34+K37</f>
        <v>0</v>
      </c>
      <c r="L29" s="91">
        <f>L30+L34+L37</f>
        <v>24118771.15718586</v>
      </c>
    </row>
    <row r="30" spans="1:12" x14ac:dyDescent="0.2">
      <c r="A30" s="168" t="s">
        <v>453</v>
      </c>
      <c r="B30" s="186">
        <f>SUM(B31:B33)</f>
        <v>9845000</v>
      </c>
      <c r="C30" s="146">
        <f>SUM(C32:C33)</f>
        <v>0</v>
      </c>
      <c r="D30" s="146">
        <f>SUM(D32:D33)</f>
        <v>0</v>
      </c>
      <c r="E30" s="146">
        <f>SUM(E32:E33)</f>
        <v>0</v>
      </c>
      <c r="F30" s="146">
        <f>SUM(F31:F33)</f>
        <v>9845000</v>
      </c>
      <c r="G30" s="187">
        <f t="shared" si="1"/>
        <v>0</v>
      </c>
      <c r="H30" s="188">
        <f t="shared" si="4"/>
        <v>13.397036730605935</v>
      </c>
      <c r="I30" s="189">
        <f t="shared" si="5"/>
        <v>0.79335434245945013</v>
      </c>
      <c r="J30" s="84">
        <f>SUM(J31:J32)</f>
        <v>734864</v>
      </c>
      <c r="K30" s="84">
        <f>SUM(K32:K32)</f>
        <v>0</v>
      </c>
      <c r="L30" s="84">
        <f>SUM(L31:L32)</f>
        <v>12409335.240391903</v>
      </c>
    </row>
    <row r="31" spans="1:12" x14ac:dyDescent="0.2">
      <c r="A31" s="53" t="s">
        <v>454</v>
      </c>
      <c r="B31" s="182">
        <v>7659000</v>
      </c>
      <c r="C31" s="145">
        <v>0</v>
      </c>
      <c r="D31" s="145">
        <v>0</v>
      </c>
      <c r="E31" s="145">
        <v>0</v>
      </c>
      <c r="F31" s="145">
        <v>7659000</v>
      </c>
      <c r="G31" s="27">
        <f t="shared" si="1"/>
        <v>0</v>
      </c>
      <c r="H31" s="180">
        <f t="shared" ref="H31" si="10">B31/J31</f>
        <v>11.59867582162966</v>
      </c>
      <c r="I31" s="176">
        <f t="shared" ref="I31" si="11">B31/L31</f>
        <v>1.01729980281975</v>
      </c>
      <c r="J31" s="89">
        <v>660334</v>
      </c>
      <c r="K31" s="89">
        <v>0</v>
      </c>
      <c r="L31" s="89">
        <v>7528754.0396359023</v>
      </c>
    </row>
    <row r="32" spans="1:12" x14ac:dyDescent="0.2">
      <c r="A32" s="56" t="s">
        <v>455</v>
      </c>
      <c r="B32" s="182">
        <f>SUM(C32:F32)</f>
        <v>2184000</v>
      </c>
      <c r="C32" s="145">
        <v>0</v>
      </c>
      <c r="D32" s="145">
        <v>0</v>
      </c>
      <c r="E32" s="145">
        <v>0</v>
      </c>
      <c r="F32" s="145">
        <f>2184000</f>
        <v>2184000</v>
      </c>
      <c r="G32" s="27">
        <f t="shared" si="1"/>
        <v>0</v>
      </c>
      <c r="H32" s="180">
        <f t="shared" si="4"/>
        <v>29.30363611968335</v>
      </c>
      <c r="I32" s="176">
        <f t="shared" si="5"/>
        <v>0.447487688487121</v>
      </c>
      <c r="J32" s="84">
        <v>74530</v>
      </c>
      <c r="K32" s="84"/>
      <c r="L32" s="92">
        <v>4880581.2007560004</v>
      </c>
    </row>
    <row r="33" spans="1:12" x14ac:dyDescent="0.2">
      <c r="A33" s="56" t="s">
        <v>590</v>
      </c>
      <c r="B33" s="182">
        <f>SUM(C33:F33)</f>
        <v>2000</v>
      </c>
      <c r="C33" s="145">
        <v>0</v>
      </c>
      <c r="D33" s="145">
        <v>0</v>
      </c>
      <c r="E33" s="145">
        <v>0</v>
      </c>
      <c r="F33" s="145">
        <v>2000</v>
      </c>
      <c r="G33" s="27">
        <f t="shared" si="1"/>
        <v>0</v>
      </c>
      <c r="H33" s="180"/>
      <c r="I33" s="176"/>
      <c r="J33" s="84"/>
      <c r="K33" s="84"/>
      <c r="L33" s="92"/>
    </row>
    <row r="34" spans="1:12" x14ac:dyDescent="0.2">
      <c r="A34" s="169" t="s">
        <v>456</v>
      </c>
      <c r="B34" s="186">
        <f>SUM(B35:B36)</f>
        <v>1866000</v>
      </c>
      <c r="C34" s="146">
        <f>SUM(C35:C36)</f>
        <v>0</v>
      </c>
      <c r="D34" s="146">
        <f>SUM(D35:D36)</f>
        <v>0</v>
      </c>
      <c r="E34" s="146">
        <f>SUM(E35:E36)</f>
        <v>426000</v>
      </c>
      <c r="F34" s="146">
        <f>SUM(F35:F36)</f>
        <v>1440000</v>
      </c>
      <c r="G34" s="187">
        <f t="shared" si="1"/>
        <v>0</v>
      </c>
      <c r="H34" s="188">
        <f t="shared" si="4"/>
        <v>8.1096585772894798</v>
      </c>
      <c r="I34" s="189">
        <f t="shared" si="5"/>
        <v>0.53446204231528471</v>
      </c>
      <c r="J34" s="84">
        <f>J35</f>
        <v>230096</v>
      </c>
      <c r="K34" s="84">
        <f>K35</f>
        <v>0</v>
      </c>
      <c r="L34" s="84">
        <f>L35</f>
        <v>3491361.13</v>
      </c>
    </row>
    <row r="35" spans="1:12" x14ac:dyDescent="0.2">
      <c r="A35" s="56" t="s">
        <v>457</v>
      </c>
      <c r="B35" s="182">
        <f>SUM(C35:F35)</f>
        <v>1855000</v>
      </c>
      <c r="C35" s="145">
        <v>0</v>
      </c>
      <c r="D35" s="145">
        <v>0</v>
      </c>
      <c r="E35" s="145">
        <v>426000</v>
      </c>
      <c r="F35" s="145">
        <f>1412000+17000</f>
        <v>1429000</v>
      </c>
      <c r="G35" s="27">
        <f t="shared" si="1"/>
        <v>0</v>
      </c>
      <c r="H35" s="180">
        <f t="shared" si="4"/>
        <v>8.0618524441972053</v>
      </c>
      <c r="I35" s="176">
        <f t="shared" si="5"/>
        <v>0.53131140862532322</v>
      </c>
      <c r="J35" s="84">
        <v>230096</v>
      </c>
      <c r="K35" s="84"/>
      <c r="L35" s="92">
        <v>3491361.13</v>
      </c>
    </row>
    <row r="36" spans="1:12" x14ac:dyDescent="0.2">
      <c r="A36" s="56" t="s">
        <v>591</v>
      </c>
      <c r="B36" s="182">
        <f>SUM(C36:F36)</f>
        <v>11000</v>
      </c>
      <c r="C36" s="145">
        <v>0</v>
      </c>
      <c r="D36" s="145">
        <v>0</v>
      </c>
      <c r="E36" s="145">
        <v>0</v>
      </c>
      <c r="F36" s="145">
        <v>11000</v>
      </c>
      <c r="G36" s="27">
        <f t="shared" si="1"/>
        <v>0</v>
      </c>
      <c r="H36" s="180"/>
      <c r="I36" s="176"/>
      <c r="J36" s="84"/>
      <c r="K36" s="84"/>
      <c r="L36" s="92"/>
    </row>
    <row r="37" spans="1:12" x14ac:dyDescent="0.2">
      <c r="A37" s="168" t="s">
        <v>458</v>
      </c>
      <c r="B37" s="186">
        <f>SUM(B38:B39)</f>
        <v>3013000</v>
      </c>
      <c r="C37" s="146">
        <f>SUM(C38:C39)</f>
        <v>762000</v>
      </c>
      <c r="D37" s="146">
        <f>SUM(D38:D39)</f>
        <v>0</v>
      </c>
      <c r="E37" s="146">
        <f>SUM(E38:E39)</f>
        <v>0</v>
      </c>
      <c r="F37" s="146">
        <f>SUM(F38:F39)</f>
        <v>2251000</v>
      </c>
      <c r="G37" s="187">
        <f t="shared" si="1"/>
        <v>0.25290408230999006</v>
      </c>
      <c r="H37" s="188">
        <f t="shared" si="4"/>
        <v>3.7324202757258895</v>
      </c>
      <c r="I37" s="189">
        <f t="shared" si="5"/>
        <v>0.36663088109659736</v>
      </c>
      <c r="J37" s="84">
        <f>SUM(J38)</f>
        <v>807251</v>
      </c>
      <c r="K37" s="84">
        <f t="shared" ref="K37:L37" si="12">SUM(K38)</f>
        <v>0</v>
      </c>
      <c r="L37" s="84">
        <f t="shared" si="12"/>
        <v>8218074.7867939565</v>
      </c>
    </row>
    <row r="38" spans="1:12" x14ac:dyDescent="0.2">
      <c r="A38" s="56" t="s">
        <v>459</v>
      </c>
      <c r="B38" s="182">
        <f>SUM(C38:F38)</f>
        <v>3011000</v>
      </c>
      <c r="C38" s="145">
        <v>762000</v>
      </c>
      <c r="D38" s="145">
        <v>0</v>
      </c>
      <c r="E38" s="145">
        <v>0</v>
      </c>
      <c r="F38" s="145">
        <f>2211000+38000</f>
        <v>2249000</v>
      </c>
      <c r="G38" s="27">
        <f t="shared" ref="G38:G40" si="13">(C38+D38)/B38</f>
        <v>0.25307206908003987</v>
      </c>
      <c r="H38" s="180">
        <f t="shared" si="4"/>
        <v>3.7299427315667617</v>
      </c>
      <c r="I38" s="176">
        <f t="shared" si="5"/>
        <v>0.36638751509520567</v>
      </c>
      <c r="J38" s="84">
        <v>807251</v>
      </c>
      <c r="K38" s="84"/>
      <c r="L38" s="92">
        <v>8218074.7867939565</v>
      </c>
    </row>
    <row r="39" spans="1:12" x14ac:dyDescent="0.2">
      <c r="A39" s="56" t="s">
        <v>592</v>
      </c>
      <c r="B39" s="182">
        <f>SUM(C39:F39)</f>
        <v>2000</v>
      </c>
      <c r="C39" s="145">
        <v>0</v>
      </c>
      <c r="D39" s="145">
        <v>0</v>
      </c>
      <c r="E39" s="145">
        <v>0</v>
      </c>
      <c r="F39" s="145">
        <v>2000</v>
      </c>
      <c r="G39" s="27">
        <f t="shared" si="13"/>
        <v>0</v>
      </c>
      <c r="H39" s="180"/>
      <c r="I39" s="176"/>
      <c r="J39" s="84"/>
      <c r="K39" s="84"/>
      <c r="L39" s="84"/>
    </row>
    <row r="40" spans="1:12" ht="12.75" thickBot="1" x14ac:dyDescent="0.25">
      <c r="A40" s="56" t="s">
        <v>593</v>
      </c>
      <c r="B40" s="183">
        <f>SUM(C40:F40)</f>
        <v>74000</v>
      </c>
      <c r="C40" s="149">
        <v>0</v>
      </c>
      <c r="D40" s="149">
        <v>0</v>
      </c>
      <c r="E40" s="149">
        <v>2000</v>
      </c>
      <c r="F40" s="149">
        <v>72000</v>
      </c>
      <c r="G40" s="29">
        <f t="shared" si="13"/>
        <v>0</v>
      </c>
      <c r="H40" s="181"/>
      <c r="I40" s="177"/>
      <c r="J40" s="84"/>
      <c r="K40" s="84"/>
      <c r="L40" s="84"/>
    </row>
    <row r="42" spans="1:12" x14ac:dyDescent="0.2">
      <c r="A42" s="13" t="s">
        <v>493</v>
      </c>
      <c r="B42" s="867" t="s">
        <v>594</v>
      </c>
      <c r="C42" s="867"/>
      <c r="D42" s="867"/>
      <c r="E42" s="867"/>
      <c r="F42" s="867"/>
      <c r="G42" s="867"/>
      <c r="H42" s="867"/>
      <c r="I42" s="867"/>
    </row>
    <row r="43" spans="1:12" x14ac:dyDescent="0.2">
      <c r="B43" s="867"/>
      <c r="C43" s="867"/>
      <c r="D43" s="867"/>
      <c r="E43" s="867"/>
      <c r="F43" s="867"/>
      <c r="G43" s="867"/>
      <c r="H43" s="867"/>
      <c r="I43" s="867"/>
    </row>
    <row r="44" spans="1:12" x14ac:dyDescent="0.2">
      <c r="B44" s="867"/>
      <c r="C44" s="867"/>
      <c r="D44" s="867"/>
      <c r="E44" s="867"/>
      <c r="F44" s="867"/>
      <c r="G44" s="867"/>
      <c r="H44" s="867"/>
      <c r="I44" s="867"/>
    </row>
    <row r="45" spans="1:12" x14ac:dyDescent="0.2">
      <c r="B45" s="867"/>
      <c r="C45" s="867"/>
      <c r="D45" s="867"/>
      <c r="E45" s="867"/>
      <c r="F45" s="867"/>
      <c r="G45" s="867"/>
      <c r="H45" s="867"/>
      <c r="I45" s="867"/>
    </row>
  </sheetData>
  <sheetProtection algorithmName="SHA-512" hashValue="B+riK+U4TtGODHwLFs3EMhEwstH4/5qY8LA861JgIWKDHhVLtigEJMKhuxa/B4E+cABWHnh3YhtYeGnziwm7mg==" saltValue="fs3hsBuX5Wyfrz9ZSB6kMA==" spinCount="100000" sheet="1" objects="1" scenarios="1"/>
  <mergeCells count="3">
    <mergeCell ref="H1:I1"/>
    <mergeCell ref="B1:G1"/>
    <mergeCell ref="B42:I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F851A-6E1A-4D0B-BFBE-5F283E8D059F}">
  <dimension ref="A1:K49"/>
  <sheetViews>
    <sheetView showGridLines="0" topLeftCell="A13" zoomScaleNormal="100" workbookViewId="0">
      <selection activeCell="B52" sqref="B52"/>
    </sheetView>
  </sheetViews>
  <sheetFormatPr defaultColWidth="9.140625" defaultRowHeight="12" customHeight="1" x14ac:dyDescent="0.2"/>
  <cols>
    <col min="1" max="1" width="26.5703125" style="13" bestFit="1" customWidth="1"/>
    <col min="2" max="2" width="16.28515625" style="28" customWidth="1"/>
    <col min="3" max="3" width="15.28515625" style="28" customWidth="1"/>
    <col min="4" max="4" width="16" style="28" customWidth="1"/>
    <col min="5" max="5" width="16.7109375" style="28" customWidth="1"/>
    <col min="6" max="6" width="18.5703125" style="28" customWidth="1"/>
    <col min="7" max="7" width="16.42578125" style="28" customWidth="1"/>
    <col min="8" max="8" width="18.28515625" style="28" customWidth="1"/>
    <col min="9" max="11" width="24.42578125" style="28" hidden="1" customWidth="1"/>
    <col min="12" max="16384" width="9.140625" style="28"/>
  </cols>
  <sheetData>
    <row r="1" spans="1:11" ht="12" customHeight="1" x14ac:dyDescent="0.2">
      <c r="A1" s="165"/>
      <c r="B1" s="868" t="s">
        <v>595</v>
      </c>
      <c r="C1" s="869"/>
      <c r="D1" s="869"/>
      <c r="E1" s="869"/>
      <c r="F1" s="870"/>
      <c r="G1" s="868" t="s">
        <v>596</v>
      </c>
      <c r="H1" s="870"/>
      <c r="I1" s="158"/>
      <c r="J1" s="158"/>
      <c r="K1" s="158"/>
    </row>
    <row r="2" spans="1:11" ht="22.5" customHeight="1" x14ac:dyDescent="0.2">
      <c r="A2" s="806" t="s">
        <v>597</v>
      </c>
      <c r="B2" s="318" t="s">
        <v>598</v>
      </c>
      <c r="C2" s="319" t="s">
        <v>599</v>
      </c>
      <c r="D2" s="319" t="s">
        <v>600</v>
      </c>
      <c r="E2" s="319" t="s">
        <v>601</v>
      </c>
      <c r="F2" s="320" t="s">
        <v>602</v>
      </c>
      <c r="G2" s="318" t="s">
        <v>603</v>
      </c>
      <c r="H2" s="320" t="s">
        <v>603</v>
      </c>
      <c r="I2" s="321" t="s">
        <v>527</v>
      </c>
      <c r="J2" s="321"/>
      <c r="K2" s="321"/>
    </row>
    <row r="3" spans="1:11" s="8" customFormat="1" ht="22.5" customHeight="1" x14ac:dyDescent="0.2">
      <c r="A3" s="165" t="s">
        <v>562</v>
      </c>
      <c r="B3" s="322" t="s">
        <v>604</v>
      </c>
      <c r="C3" s="323" t="s">
        <v>604</v>
      </c>
      <c r="D3" s="323" t="s">
        <v>604</v>
      </c>
      <c r="E3" s="323" t="s">
        <v>604</v>
      </c>
      <c r="F3" s="323" t="s">
        <v>604</v>
      </c>
      <c r="G3" s="322" t="s">
        <v>605</v>
      </c>
      <c r="H3" s="324" t="s">
        <v>606</v>
      </c>
      <c r="I3" s="325" t="s">
        <v>586</v>
      </c>
      <c r="J3" s="321" t="s">
        <v>587</v>
      </c>
      <c r="K3" s="321" t="s">
        <v>588</v>
      </c>
    </row>
    <row r="4" spans="1:11" ht="12" customHeight="1" x14ac:dyDescent="0.2">
      <c r="A4" s="326" t="s">
        <v>417</v>
      </c>
      <c r="B4" s="660">
        <f>B5+B30</f>
        <v>4827000</v>
      </c>
      <c r="C4" s="661">
        <f t="shared" ref="C4:E4" si="0">C5+C30</f>
        <v>624000</v>
      </c>
      <c r="D4" s="661">
        <f t="shared" si="0"/>
        <v>569000</v>
      </c>
      <c r="E4" s="661">
        <f t="shared" si="0"/>
        <v>710000</v>
      </c>
      <c r="F4" s="662">
        <f>SUM(B4,C4)</f>
        <v>5451000</v>
      </c>
      <c r="G4" s="327">
        <f>(F4-F18-F26)/I4</f>
        <v>0.77823711325113454</v>
      </c>
      <c r="H4" s="328">
        <f>(B4+C4)/K4</f>
        <v>4.0886638980616737E-2</v>
      </c>
      <c r="I4" s="321">
        <f>I5+I30</f>
        <v>6730596.512055208</v>
      </c>
      <c r="J4" s="321">
        <f t="shared" ref="J4:K4" si="1">J5+J30</f>
        <v>337078243</v>
      </c>
      <c r="K4" s="321">
        <f t="shared" si="1"/>
        <v>133319835.91471466</v>
      </c>
    </row>
    <row r="5" spans="1:11" ht="12" customHeight="1" x14ac:dyDescent="0.2">
      <c r="A5" s="329" t="s">
        <v>418</v>
      </c>
      <c r="B5" s="663">
        <f>B6+B8+B11+B13+B15+B18+B20+B26+B28</f>
        <v>3971000</v>
      </c>
      <c r="C5" s="664">
        <f t="shared" ref="C5:E5" si="2">C6+C8+C11+C13+C15+C18+C20+C26+C28</f>
        <v>572000</v>
      </c>
      <c r="D5" s="664">
        <f t="shared" si="2"/>
        <v>517000</v>
      </c>
      <c r="E5" s="664">
        <f t="shared" si="2"/>
        <v>585000</v>
      </c>
      <c r="F5" s="665">
        <f t="shared" ref="F5:F41" si="3">SUM(B5,C5)</f>
        <v>4543000</v>
      </c>
      <c r="G5" s="330">
        <f>(F5-F18-F26)/I5</f>
        <v>0.87326812113994989</v>
      </c>
      <c r="H5" s="331">
        <f>(B5+C5)/K5</f>
        <v>4.1602158459602252E-2</v>
      </c>
      <c r="I5" s="321">
        <f>I6+I8+I11+I13+I15+I18+I20+I26+I28</f>
        <v>4958385.512055208</v>
      </c>
      <c r="J5" s="321">
        <f t="shared" ref="J5" si="4">J6+J8+J11+J13+J15+J18+J20+J26+J28</f>
        <v>337078243</v>
      </c>
      <c r="K5" s="321">
        <f>K6+K8+K11+K13+K15+K18+K20+K26+K28</f>
        <v>109201064.7575288</v>
      </c>
    </row>
    <row r="6" spans="1:11" ht="12" customHeight="1" x14ac:dyDescent="0.2">
      <c r="A6" s="332" t="s">
        <v>419</v>
      </c>
      <c r="B6" s="666">
        <f>SUM(B7:B7)</f>
        <v>241000</v>
      </c>
      <c r="C6" s="667">
        <f>SUM(C7:C7)</f>
        <v>0</v>
      </c>
      <c r="D6" s="667">
        <f>SUM(D7:D7)</f>
        <v>0</v>
      </c>
      <c r="E6" s="667">
        <f>SUM(E7:E7)</f>
        <v>56000</v>
      </c>
      <c r="F6" s="668">
        <f t="shared" si="3"/>
        <v>241000</v>
      </c>
      <c r="G6" s="333">
        <f t="shared" ref="G6:G39" si="5">(F6)/I6</f>
        <v>0.43288565891124764</v>
      </c>
      <c r="H6" s="334">
        <f t="shared" ref="H6:H39" si="6">(B6+C6)/K6</f>
        <v>8.8952882470173539E-3</v>
      </c>
      <c r="I6" s="158">
        <f>SUM(I7:I7)</f>
        <v>556729</v>
      </c>
      <c r="J6" s="158">
        <f>SUM(J7:J7)</f>
        <v>0</v>
      </c>
      <c r="K6" s="158">
        <f>SUM(K7:K7)</f>
        <v>27092995.000000007</v>
      </c>
    </row>
    <row r="7" spans="1:11" ht="12" customHeight="1" x14ac:dyDescent="0.2">
      <c r="A7" s="165" t="s">
        <v>420</v>
      </c>
      <c r="B7" s="669">
        <v>241000</v>
      </c>
      <c r="C7" s="670">
        <v>0</v>
      </c>
      <c r="D7" s="670">
        <v>0</v>
      </c>
      <c r="E7" s="670">
        <v>56000</v>
      </c>
      <c r="F7" s="155">
        <f t="shared" si="3"/>
        <v>241000</v>
      </c>
      <c r="G7" s="335">
        <f t="shared" si="5"/>
        <v>0.43288565891124764</v>
      </c>
      <c r="H7" s="336">
        <f t="shared" si="6"/>
        <v>8.8952882470173539E-3</v>
      </c>
      <c r="I7" s="158">
        <v>556729</v>
      </c>
      <c r="J7" s="158"/>
      <c r="K7" s="158">
        <v>27092995.000000007</v>
      </c>
    </row>
    <row r="8" spans="1:11" ht="12" customHeight="1" x14ac:dyDescent="0.2">
      <c r="A8" s="337" t="s">
        <v>428</v>
      </c>
      <c r="B8" s="666">
        <f>SUM(B9:B10)</f>
        <v>37000</v>
      </c>
      <c r="C8" s="667">
        <f t="shared" ref="C8:E8" si="7">SUM(C9:C10)</f>
        <v>9000</v>
      </c>
      <c r="D8" s="667">
        <f t="shared" si="7"/>
        <v>9000</v>
      </c>
      <c r="E8" s="667">
        <f t="shared" si="7"/>
        <v>16000</v>
      </c>
      <c r="F8" s="668">
        <f t="shared" si="3"/>
        <v>46000</v>
      </c>
      <c r="G8" s="333"/>
      <c r="H8" s="334"/>
      <c r="I8" s="158">
        <f>I9</f>
        <v>170734</v>
      </c>
      <c r="J8" s="158"/>
      <c r="K8" s="158">
        <f>K9</f>
        <v>3061664.9999999977</v>
      </c>
    </row>
    <row r="9" spans="1:11" ht="12" customHeight="1" x14ac:dyDescent="0.2">
      <c r="A9" s="165" t="s">
        <v>429</v>
      </c>
      <c r="B9" s="669">
        <v>37000</v>
      </c>
      <c r="C9" s="670">
        <v>9000</v>
      </c>
      <c r="D9" s="670">
        <v>9000</v>
      </c>
      <c r="E9" s="670">
        <v>11000</v>
      </c>
      <c r="F9" s="155">
        <f t="shared" si="3"/>
        <v>46000</v>
      </c>
      <c r="G9" s="335">
        <f t="shared" si="5"/>
        <v>0.26942495343633954</v>
      </c>
      <c r="H9" s="336">
        <f t="shared" si="6"/>
        <v>1.5024504640448917E-2</v>
      </c>
      <c r="I9" s="158">
        <v>170734</v>
      </c>
      <c r="J9" s="158"/>
      <c r="K9" s="158">
        <v>3061664.9999999977</v>
      </c>
    </row>
    <row r="10" spans="1:11" ht="12" customHeight="1" x14ac:dyDescent="0.2">
      <c r="A10" s="165" t="s">
        <v>430</v>
      </c>
      <c r="B10" s="669"/>
      <c r="C10" s="670"/>
      <c r="D10" s="670"/>
      <c r="E10" s="670">
        <v>5000</v>
      </c>
      <c r="F10" s="155">
        <f t="shared" si="3"/>
        <v>0</v>
      </c>
      <c r="G10" s="335"/>
      <c r="H10" s="336"/>
      <c r="I10" s="158"/>
      <c r="J10" s="158"/>
      <c r="K10" s="158"/>
    </row>
    <row r="11" spans="1:11" ht="12" customHeight="1" x14ac:dyDescent="0.2">
      <c r="A11" s="332" t="s">
        <v>423</v>
      </c>
      <c r="B11" s="666">
        <f>SUM(B12:B12)</f>
        <v>0</v>
      </c>
      <c r="C11" s="667">
        <f>SUM(C12:C12)</f>
        <v>0</v>
      </c>
      <c r="D11" s="667">
        <f>SUM(D12:D12)</f>
        <v>0</v>
      </c>
      <c r="E11" s="667">
        <f>SUM(E12:E12)</f>
        <v>0</v>
      </c>
      <c r="F11" s="668">
        <f t="shared" si="3"/>
        <v>0</v>
      </c>
      <c r="G11" s="333"/>
      <c r="H11" s="334"/>
      <c r="I11" s="158">
        <f>SUM(I12:I12)</f>
        <v>0</v>
      </c>
      <c r="J11" s="158">
        <f>SUM(J12:J12)</f>
        <v>0</v>
      </c>
      <c r="K11" s="158">
        <f>SUM(K12:K12)</f>
        <v>0</v>
      </c>
    </row>
    <row r="12" spans="1:11" ht="12" customHeight="1" x14ac:dyDescent="0.2">
      <c r="A12" s="165" t="s">
        <v>424</v>
      </c>
      <c r="B12" s="669"/>
      <c r="C12" s="670"/>
      <c r="D12" s="670"/>
      <c r="E12" s="670"/>
      <c r="F12" s="155">
        <f t="shared" si="3"/>
        <v>0</v>
      </c>
      <c r="G12" s="335"/>
      <c r="H12" s="336"/>
      <c r="I12" s="158"/>
      <c r="J12" s="158"/>
      <c r="K12" s="158"/>
    </row>
    <row r="13" spans="1:11" ht="12" customHeight="1" x14ac:dyDescent="0.2">
      <c r="A13" s="332" t="s">
        <v>440</v>
      </c>
      <c r="B13" s="666">
        <f>SUM(B14)</f>
        <v>2029000</v>
      </c>
      <c r="C13" s="667">
        <f>SUM(C14)</f>
        <v>0</v>
      </c>
      <c r="D13" s="667">
        <f>SUM(D14)</f>
        <v>0</v>
      </c>
      <c r="E13" s="667">
        <f>SUM(E14)</f>
        <v>169000</v>
      </c>
      <c r="F13" s="668">
        <f t="shared" si="3"/>
        <v>2029000</v>
      </c>
      <c r="G13" s="333">
        <f t="shared" si="5"/>
        <v>2.0953449057507871</v>
      </c>
      <c r="H13" s="334">
        <f t="shared" si="6"/>
        <v>0.24309512207892037</v>
      </c>
      <c r="I13" s="158">
        <f t="shared" ref="I13:K13" si="8">I14</f>
        <v>968337</v>
      </c>
      <c r="J13" s="158">
        <f t="shared" si="8"/>
        <v>2043626</v>
      </c>
      <c r="K13" s="158">
        <f t="shared" si="8"/>
        <v>8346526.9999999795</v>
      </c>
    </row>
    <row r="14" spans="1:11" ht="12" customHeight="1" x14ac:dyDescent="0.2">
      <c r="A14" s="165" t="s">
        <v>441</v>
      </c>
      <c r="B14" s="669">
        <v>2029000</v>
      </c>
      <c r="C14" s="670">
        <v>0</v>
      </c>
      <c r="D14" s="670">
        <v>0</v>
      </c>
      <c r="E14" s="670">
        <v>169000</v>
      </c>
      <c r="F14" s="155">
        <f t="shared" si="3"/>
        <v>2029000</v>
      </c>
      <c r="G14" s="335">
        <f t="shared" si="5"/>
        <v>2.0953449057507871</v>
      </c>
      <c r="H14" s="336">
        <f t="shared" si="6"/>
        <v>0.24309512207892037</v>
      </c>
      <c r="I14" s="158">
        <v>968337</v>
      </c>
      <c r="J14" s="158">
        <v>2043626</v>
      </c>
      <c r="K14" s="158">
        <v>8346526.9999999795</v>
      </c>
    </row>
    <row r="15" spans="1:11" ht="12" customHeight="1" x14ac:dyDescent="0.2">
      <c r="A15" s="332" t="s">
        <v>442</v>
      </c>
      <c r="B15" s="666">
        <f>SUM(B16:B17)</f>
        <v>108000</v>
      </c>
      <c r="C15" s="667">
        <f>SUM(C16:C17)</f>
        <v>42000</v>
      </c>
      <c r="D15" s="667">
        <f>SUM(D16:D17)</f>
        <v>42000</v>
      </c>
      <c r="E15" s="667">
        <f>SUM(E16:E17)</f>
        <v>31000</v>
      </c>
      <c r="F15" s="668">
        <f t="shared" si="3"/>
        <v>150000</v>
      </c>
      <c r="G15" s="333">
        <f t="shared" si="5"/>
        <v>0.45379077078369878</v>
      </c>
      <c r="H15" s="334">
        <f t="shared" si="6"/>
        <v>9.5407572425212778E-3</v>
      </c>
      <c r="I15" s="158">
        <f>SUM(I16:I17)</f>
        <v>330548.81160528958</v>
      </c>
      <c r="J15" s="158">
        <f>SUM(J16:J17)</f>
        <v>0</v>
      </c>
      <c r="K15" s="158">
        <f>SUM(K16:K17)</f>
        <v>15722022.496440798</v>
      </c>
    </row>
    <row r="16" spans="1:11" ht="12" customHeight="1" x14ac:dyDescent="0.2">
      <c r="A16" s="165" t="s">
        <v>443</v>
      </c>
      <c r="B16" s="669">
        <v>73000</v>
      </c>
      <c r="C16" s="670">
        <v>28000</v>
      </c>
      <c r="D16" s="670">
        <v>28000</v>
      </c>
      <c r="E16" s="670">
        <v>21000</v>
      </c>
      <c r="F16" s="155">
        <f t="shared" si="3"/>
        <v>101000</v>
      </c>
      <c r="G16" s="335">
        <f t="shared" si="5"/>
        <v>0.41146930082309996</v>
      </c>
      <c r="H16" s="336">
        <f t="shared" si="6"/>
        <v>1.1429644235425588E-2</v>
      </c>
      <c r="I16" s="158">
        <v>245461.81160528961</v>
      </c>
      <c r="J16" s="158"/>
      <c r="K16" s="158">
        <v>8836670.4964408036</v>
      </c>
    </row>
    <row r="17" spans="1:11" ht="12" customHeight="1" x14ac:dyDescent="0.2">
      <c r="A17" s="165" t="s">
        <v>444</v>
      </c>
      <c r="B17" s="669">
        <v>35000</v>
      </c>
      <c r="C17" s="670">
        <v>14000</v>
      </c>
      <c r="D17" s="670">
        <v>14000</v>
      </c>
      <c r="E17" s="670">
        <v>10000</v>
      </c>
      <c r="F17" s="155">
        <f t="shared" si="3"/>
        <v>49000</v>
      </c>
      <c r="G17" s="335">
        <f t="shared" si="5"/>
        <v>0.57588115693349162</v>
      </c>
      <c r="H17" s="336">
        <f t="shared" si="6"/>
        <v>7.1165570039120789E-3</v>
      </c>
      <c r="I17" s="158">
        <v>85087</v>
      </c>
      <c r="J17" s="158"/>
      <c r="K17" s="158">
        <v>6885351.9999999944</v>
      </c>
    </row>
    <row r="18" spans="1:11" ht="12" customHeight="1" x14ac:dyDescent="0.2">
      <c r="A18" s="332" t="s">
        <v>446</v>
      </c>
      <c r="B18" s="666">
        <f>B19</f>
        <v>2000</v>
      </c>
      <c r="C18" s="667">
        <f>C19</f>
        <v>87000</v>
      </c>
      <c r="D18" s="667">
        <f>D19</f>
        <v>87000</v>
      </c>
      <c r="E18" s="667">
        <f>E19</f>
        <v>8000</v>
      </c>
      <c r="F18" s="668">
        <f t="shared" si="3"/>
        <v>89000</v>
      </c>
      <c r="G18" s="333">
        <f>(F18/J18)*1000</f>
        <v>0.79939198066312112</v>
      </c>
      <c r="H18" s="334">
        <f t="shared" si="6"/>
        <v>4.5667044146690774E-2</v>
      </c>
      <c r="I18" s="158">
        <f t="shared" ref="I18:J18" si="9">I19</f>
        <v>4160.22</v>
      </c>
      <c r="J18" s="158">
        <f t="shared" si="9"/>
        <v>111334617</v>
      </c>
      <c r="K18" s="158">
        <f>K19</f>
        <v>1948888.9999999991</v>
      </c>
    </row>
    <row r="19" spans="1:11" ht="12" customHeight="1" x14ac:dyDescent="0.2">
      <c r="A19" s="165" t="s">
        <v>447</v>
      </c>
      <c r="B19" s="669">
        <v>2000</v>
      </c>
      <c r="C19" s="670">
        <v>87000</v>
      </c>
      <c r="D19" s="670">
        <v>87000</v>
      </c>
      <c r="E19" s="670">
        <v>8000</v>
      </c>
      <c r="F19" s="155">
        <f t="shared" si="3"/>
        <v>89000</v>
      </c>
      <c r="G19" s="335">
        <f>(F19/J19)*1000</f>
        <v>0.79939198066312112</v>
      </c>
      <c r="H19" s="336">
        <f t="shared" si="6"/>
        <v>4.5667044146690774E-2</v>
      </c>
      <c r="I19" s="158">
        <v>4160.22</v>
      </c>
      <c r="J19" s="158">
        <v>111334617</v>
      </c>
      <c r="K19" s="158">
        <v>1948888.9999999991</v>
      </c>
    </row>
    <row r="20" spans="1:11" ht="12" customHeight="1" x14ac:dyDescent="0.2">
      <c r="A20" s="332" t="s">
        <v>432</v>
      </c>
      <c r="B20" s="666">
        <f>SUM(B21:B25)</f>
        <v>1044000</v>
      </c>
      <c r="C20" s="667">
        <f>SUM(C21:C25)</f>
        <v>428000</v>
      </c>
      <c r="D20" s="667">
        <f>SUM(D21:D25)</f>
        <v>373000</v>
      </c>
      <c r="E20" s="667">
        <f>SUM(E21:E25)</f>
        <v>182000</v>
      </c>
      <c r="F20" s="668">
        <f t="shared" si="3"/>
        <v>1472000</v>
      </c>
      <c r="G20" s="333">
        <f t="shared" si="5"/>
        <v>0.58905824313378985</v>
      </c>
      <c r="H20" s="334">
        <f t="shared" si="6"/>
        <v>5.5201173291785956E-2</v>
      </c>
      <c r="I20" s="158">
        <f>SUM(I21:I25)</f>
        <v>2498904</v>
      </c>
      <c r="J20" s="158">
        <f>SUM(J21:J25)</f>
        <v>0</v>
      </c>
      <c r="K20" s="158">
        <f>SUM(K21:K25)</f>
        <v>26666099.871088002</v>
      </c>
    </row>
    <row r="21" spans="1:11" ht="12" customHeight="1" x14ac:dyDescent="0.2">
      <c r="A21" s="165" t="s">
        <v>478</v>
      </c>
      <c r="B21" s="669">
        <v>215000</v>
      </c>
      <c r="C21" s="670">
        <v>93000</v>
      </c>
      <c r="D21" s="670">
        <v>74000</v>
      </c>
      <c r="E21" s="670">
        <v>60000</v>
      </c>
      <c r="F21" s="155">
        <f t="shared" si="3"/>
        <v>308000</v>
      </c>
      <c r="G21" s="335">
        <f t="shared" si="5"/>
        <v>0.24347826086956523</v>
      </c>
      <c r="H21" s="336">
        <f t="shared" si="6"/>
        <v>2.0095904546520434E-2</v>
      </c>
      <c r="I21" s="158">
        <v>1265000</v>
      </c>
      <c r="J21" s="158"/>
      <c r="K21" s="158">
        <v>15326505.919999983</v>
      </c>
    </row>
    <row r="22" spans="1:11" ht="12" customHeight="1" x14ac:dyDescent="0.2">
      <c r="A22" s="165" t="s">
        <v>480</v>
      </c>
      <c r="B22" s="669">
        <v>639000</v>
      </c>
      <c r="C22" s="670">
        <v>300000</v>
      </c>
      <c r="D22" s="670">
        <v>268000</v>
      </c>
      <c r="E22" s="670">
        <v>90000</v>
      </c>
      <c r="F22" s="155">
        <f t="shared" si="3"/>
        <v>939000</v>
      </c>
      <c r="G22" s="335">
        <f t="shared" si="5"/>
        <v>1.1245508982035928</v>
      </c>
      <c r="H22" s="336">
        <f t="shared" si="6"/>
        <v>9.3588462725279903E-2</v>
      </c>
      <c r="I22" s="158">
        <v>835000</v>
      </c>
      <c r="J22" s="158"/>
      <c r="K22" s="158">
        <v>10033288.00000002</v>
      </c>
    </row>
    <row r="23" spans="1:11" ht="12" customHeight="1" x14ac:dyDescent="0.2">
      <c r="A23" s="165" t="s">
        <v>438</v>
      </c>
      <c r="B23" s="669">
        <v>7000</v>
      </c>
      <c r="C23" s="670">
        <v>13000</v>
      </c>
      <c r="D23" s="670">
        <v>13000</v>
      </c>
      <c r="E23" s="670">
        <v>3000</v>
      </c>
      <c r="F23" s="155">
        <f t="shared" si="3"/>
        <v>20000</v>
      </c>
      <c r="G23" s="335">
        <f t="shared" si="5"/>
        <v>0.64792017623428788</v>
      </c>
      <c r="H23" s="336">
        <f t="shared" si="6"/>
        <v>4.0226922511824303E-2</v>
      </c>
      <c r="I23" s="158">
        <v>30868</v>
      </c>
      <c r="J23" s="158"/>
      <c r="K23" s="158">
        <v>497179.46964800003</v>
      </c>
    </row>
    <row r="24" spans="1:11" ht="12" customHeight="1" x14ac:dyDescent="0.2">
      <c r="A24" s="165" t="s">
        <v>434</v>
      </c>
      <c r="B24" s="669">
        <v>10000</v>
      </c>
      <c r="C24" s="670">
        <v>22000</v>
      </c>
      <c r="D24" s="670">
        <v>18000</v>
      </c>
      <c r="E24" s="670">
        <v>5000</v>
      </c>
      <c r="F24" s="155">
        <f t="shared" si="3"/>
        <v>32000</v>
      </c>
      <c r="G24" s="335">
        <f t="shared" si="5"/>
        <v>8.6948015954960933E-2</v>
      </c>
      <c r="H24" s="336">
        <f t="shared" si="6"/>
        <v>3.9548823001132896E-2</v>
      </c>
      <c r="I24" s="158">
        <v>368036</v>
      </c>
      <c r="J24" s="158"/>
      <c r="K24" s="158">
        <v>809126.48144</v>
      </c>
    </row>
    <row r="25" spans="1:11" ht="12" customHeight="1" x14ac:dyDescent="0.2">
      <c r="A25" s="165" t="s">
        <v>435</v>
      </c>
      <c r="B25" s="669">
        <v>173000</v>
      </c>
      <c r="C25" s="670"/>
      <c r="D25" s="670"/>
      <c r="E25" s="670">
        <v>24000</v>
      </c>
      <c r="F25" s="155">
        <f t="shared" si="3"/>
        <v>173000</v>
      </c>
      <c r="G25" s="335"/>
      <c r="H25" s="336"/>
      <c r="I25" s="158"/>
      <c r="J25" s="158"/>
      <c r="K25" s="158"/>
    </row>
    <row r="26" spans="1:11" ht="12" customHeight="1" x14ac:dyDescent="0.2">
      <c r="A26" s="332" t="s">
        <v>448</v>
      </c>
      <c r="B26" s="666">
        <f>B27</f>
        <v>118000</v>
      </c>
      <c r="C26" s="667">
        <f>C27</f>
        <v>6000</v>
      </c>
      <c r="D26" s="667">
        <f>D27</f>
        <v>6000</v>
      </c>
      <c r="E26" s="667">
        <f>E27</f>
        <v>59000</v>
      </c>
      <c r="F26" s="668">
        <f t="shared" si="3"/>
        <v>124000</v>
      </c>
      <c r="G26" s="333">
        <f>(F26/J26)*1000</f>
        <v>0.55431381314260175</v>
      </c>
      <c r="H26" s="334">
        <f t="shared" si="6"/>
        <v>5.6720987894771863E-3</v>
      </c>
      <c r="I26" s="158">
        <f t="shared" ref="I26:K26" si="10">I27</f>
        <v>0</v>
      </c>
      <c r="J26" s="158">
        <f t="shared" si="10"/>
        <v>223700000</v>
      </c>
      <c r="K26" s="158">
        <f t="shared" si="10"/>
        <v>21861396.390000012</v>
      </c>
    </row>
    <row r="27" spans="1:11" ht="12" customHeight="1" x14ac:dyDescent="0.2">
      <c r="A27" s="165" t="s">
        <v>449</v>
      </c>
      <c r="B27" s="669">
        <v>118000</v>
      </c>
      <c r="C27" s="670">
        <v>6000</v>
      </c>
      <c r="D27" s="670">
        <v>6000</v>
      </c>
      <c r="E27" s="670">
        <v>59000</v>
      </c>
      <c r="F27" s="155">
        <f t="shared" si="3"/>
        <v>124000</v>
      </c>
      <c r="G27" s="335">
        <f>(F27/J27)*1000</f>
        <v>0.55431381314260175</v>
      </c>
      <c r="H27" s="336">
        <f t="shared" si="6"/>
        <v>5.6720987894771863E-3</v>
      </c>
      <c r="I27" s="158"/>
      <c r="J27" s="158">
        <v>223700000</v>
      </c>
      <c r="K27" s="158">
        <v>21861396.390000012</v>
      </c>
    </row>
    <row r="28" spans="1:11" ht="12" customHeight="1" x14ac:dyDescent="0.2">
      <c r="A28" s="332" t="s">
        <v>450</v>
      </c>
      <c r="B28" s="666">
        <f>B29</f>
        <v>392000</v>
      </c>
      <c r="C28" s="667">
        <f>C29</f>
        <v>0</v>
      </c>
      <c r="D28" s="667">
        <f>D29</f>
        <v>0</v>
      </c>
      <c r="E28" s="667">
        <f>E29</f>
        <v>64000</v>
      </c>
      <c r="F28" s="668">
        <f t="shared" si="3"/>
        <v>392000</v>
      </c>
      <c r="G28" s="333">
        <f t="shared" si="5"/>
        <v>0.91381153305885532</v>
      </c>
      <c r="H28" s="334">
        <f t="shared" si="6"/>
        <v>8.7082664107502664E-2</v>
      </c>
      <c r="I28" s="158">
        <f t="shared" ref="I28:K28" si="11">I29</f>
        <v>428972.48044991866</v>
      </c>
      <c r="J28" s="158">
        <f t="shared" si="11"/>
        <v>0</v>
      </c>
      <c r="K28" s="158">
        <f t="shared" si="11"/>
        <v>4501470</v>
      </c>
    </row>
    <row r="29" spans="1:11" ht="12" customHeight="1" x14ac:dyDescent="0.2">
      <c r="A29" s="165" t="s">
        <v>451</v>
      </c>
      <c r="B29" s="669">
        <v>392000</v>
      </c>
      <c r="C29" s="670"/>
      <c r="D29" s="670"/>
      <c r="E29" s="670">
        <v>64000</v>
      </c>
      <c r="F29" s="155">
        <f t="shared" si="3"/>
        <v>392000</v>
      </c>
      <c r="G29" s="335">
        <f t="shared" si="5"/>
        <v>0.91381153305885532</v>
      </c>
      <c r="H29" s="336">
        <f t="shared" si="6"/>
        <v>8.7082664107502664E-2</v>
      </c>
      <c r="I29" s="158">
        <v>428972.48044991866</v>
      </c>
      <c r="J29" s="158"/>
      <c r="K29" s="158">
        <v>4501470</v>
      </c>
    </row>
    <row r="30" spans="1:11" ht="12" customHeight="1" x14ac:dyDescent="0.2">
      <c r="A30" s="338" t="s">
        <v>452</v>
      </c>
      <c r="B30" s="671">
        <f>B31+B35+B38+B41</f>
        <v>856000</v>
      </c>
      <c r="C30" s="672">
        <f>C31+C35+C38+C41</f>
        <v>52000</v>
      </c>
      <c r="D30" s="672">
        <f>D31+D35+D38+D41</f>
        <v>52000</v>
      </c>
      <c r="E30" s="672">
        <f>ROUND(125293,-3)</f>
        <v>125000</v>
      </c>
      <c r="F30" s="665">
        <f t="shared" si="3"/>
        <v>908000</v>
      </c>
      <c r="G30" s="330">
        <f t="shared" si="5"/>
        <v>0.51235434155413773</v>
      </c>
      <c r="H30" s="331">
        <f>(B30+C30)/K30</f>
        <v>3.764702579921754E-2</v>
      </c>
      <c r="I30" s="158">
        <f>I31+I35+I38</f>
        <v>1772211</v>
      </c>
      <c r="J30" s="158">
        <f>J31+J35+J38</f>
        <v>0</v>
      </c>
      <c r="K30" s="158">
        <f>K31+K35+K38</f>
        <v>24118771.15718586</v>
      </c>
    </row>
    <row r="31" spans="1:11" ht="12" customHeight="1" x14ac:dyDescent="0.2">
      <c r="A31" s="332" t="s">
        <v>453</v>
      </c>
      <c r="B31" s="666">
        <f>SUM(B32:B34)</f>
        <v>573000</v>
      </c>
      <c r="C31" s="667">
        <f t="shared" ref="C31:E31" si="12">SUM(C32:C33)</f>
        <v>0</v>
      </c>
      <c r="D31" s="667">
        <f t="shared" si="12"/>
        <v>0</v>
      </c>
      <c r="E31" s="667">
        <f t="shared" si="12"/>
        <v>0</v>
      </c>
      <c r="F31" s="668">
        <f t="shared" si="3"/>
        <v>573000</v>
      </c>
      <c r="G31" s="333">
        <f t="shared" si="5"/>
        <v>0.77973611443750135</v>
      </c>
      <c r="H31" s="334">
        <f t="shared" si="6"/>
        <v>4.6174915005511928E-2</v>
      </c>
      <c r="I31" s="158">
        <f>SUM(I32:I33)</f>
        <v>734864</v>
      </c>
      <c r="J31" s="158">
        <f>SUM(J33:J33)</f>
        <v>0</v>
      </c>
      <c r="K31" s="158">
        <f>SUM(K32:K33)</f>
        <v>12409335.240391903</v>
      </c>
    </row>
    <row r="32" spans="1:11" ht="12" customHeight="1" x14ac:dyDescent="0.2">
      <c r="A32" s="13" t="s">
        <v>454</v>
      </c>
      <c r="B32" s="669">
        <v>409000</v>
      </c>
      <c r="C32" s="670">
        <v>0</v>
      </c>
      <c r="D32" s="670">
        <v>0</v>
      </c>
      <c r="E32" s="670">
        <v>0</v>
      </c>
      <c r="F32" s="155">
        <f t="shared" si="3"/>
        <v>409000</v>
      </c>
      <c r="G32" s="335">
        <f t="shared" si="5"/>
        <v>0.619383524095382</v>
      </c>
      <c r="H32" s="336">
        <f t="shared" si="6"/>
        <v>5.4325058017140326E-2</v>
      </c>
      <c r="I32" s="158">
        <v>660334</v>
      </c>
      <c r="J32" s="158">
        <v>0</v>
      </c>
      <c r="K32" s="158">
        <v>7528754.0396359023</v>
      </c>
    </row>
    <row r="33" spans="1:11" ht="12" customHeight="1" x14ac:dyDescent="0.2">
      <c r="A33" s="165" t="s">
        <v>455</v>
      </c>
      <c r="B33" s="669">
        <f>ROUND(163285.92,-3)</f>
        <v>163000</v>
      </c>
      <c r="C33" s="670"/>
      <c r="D33" s="670"/>
      <c r="E33" s="670"/>
      <c r="F33" s="155">
        <f t="shared" si="3"/>
        <v>163000</v>
      </c>
      <c r="G33" s="335">
        <f t="shared" si="5"/>
        <v>2.1870387763316783</v>
      </c>
      <c r="H33" s="336">
        <f t="shared" si="6"/>
        <v>3.3397661732326341E-2</v>
      </c>
      <c r="I33" s="158">
        <v>74530</v>
      </c>
      <c r="J33" s="158"/>
      <c r="K33" s="339">
        <v>4880581.2007560004</v>
      </c>
    </row>
    <row r="34" spans="1:11" ht="12" customHeight="1" x14ac:dyDescent="0.2">
      <c r="A34" s="165" t="s">
        <v>590</v>
      </c>
      <c r="B34" s="669">
        <v>1000</v>
      </c>
      <c r="C34" s="670">
        <v>0</v>
      </c>
      <c r="D34" s="670">
        <v>0</v>
      </c>
      <c r="E34" s="670"/>
      <c r="F34" s="155">
        <f t="shared" si="3"/>
        <v>1000</v>
      </c>
      <c r="G34" s="335"/>
      <c r="H34" s="336"/>
      <c r="I34" s="158"/>
      <c r="J34" s="158"/>
      <c r="K34" s="339"/>
    </row>
    <row r="35" spans="1:11" ht="12" customHeight="1" x14ac:dyDescent="0.2">
      <c r="A35" s="337" t="s">
        <v>456</v>
      </c>
      <c r="B35" s="666">
        <f>SUM(B36:B37)</f>
        <v>107000</v>
      </c>
      <c r="C35" s="667">
        <f>SUM(C36:C37)</f>
        <v>52000</v>
      </c>
      <c r="D35" s="667">
        <f>SUM(D36:D37)</f>
        <v>52000</v>
      </c>
      <c r="E35" s="667">
        <v>0</v>
      </c>
      <c r="F35" s="668">
        <f t="shared" si="3"/>
        <v>159000</v>
      </c>
      <c r="G35" s="333">
        <f t="shared" si="5"/>
        <v>0.69101592378833188</v>
      </c>
      <c r="H35" s="334">
        <f t="shared" si="6"/>
        <v>4.5540977882170555E-2</v>
      </c>
      <c r="I35" s="158">
        <f>I36</f>
        <v>230096</v>
      </c>
      <c r="J35" s="158">
        <f>J36</f>
        <v>0</v>
      </c>
      <c r="K35" s="158">
        <f>K36</f>
        <v>3491361.13</v>
      </c>
    </row>
    <row r="36" spans="1:11" ht="12" customHeight="1" x14ac:dyDescent="0.2">
      <c r="A36" s="165" t="s">
        <v>457</v>
      </c>
      <c r="B36" s="669">
        <f>ROUND(106013.83,-3)</f>
        <v>106000</v>
      </c>
      <c r="C36" s="670">
        <f>ROUND(51670.86,-3)</f>
        <v>52000</v>
      </c>
      <c r="D36" s="670">
        <f>ROUND(51670.86,-3)</f>
        <v>52000</v>
      </c>
      <c r="E36" s="670"/>
      <c r="F36" s="155">
        <f t="shared" si="3"/>
        <v>158000</v>
      </c>
      <c r="G36" s="335">
        <f t="shared" si="5"/>
        <v>0.68666991168903413</v>
      </c>
      <c r="H36" s="336">
        <f t="shared" si="6"/>
        <v>4.5254556637628604E-2</v>
      </c>
      <c r="I36" s="158">
        <v>230096</v>
      </c>
      <c r="J36" s="158"/>
      <c r="K36" s="339">
        <v>3491361.13</v>
      </c>
    </row>
    <row r="37" spans="1:11" ht="12" customHeight="1" x14ac:dyDescent="0.2">
      <c r="A37" s="165" t="s">
        <v>591</v>
      </c>
      <c r="B37" s="669">
        <f>ROUND(107170.76,-3)-B36</f>
        <v>1000</v>
      </c>
      <c r="C37" s="670">
        <f>ROUND(51728.84,-3)-C36</f>
        <v>0</v>
      </c>
      <c r="D37" s="670">
        <f>ROUND(51728.84,-3)-D36</f>
        <v>0</v>
      </c>
      <c r="E37" s="670"/>
      <c r="F37" s="155">
        <f t="shared" si="3"/>
        <v>1000</v>
      </c>
      <c r="G37" s="335"/>
      <c r="H37" s="336"/>
      <c r="I37" s="158"/>
      <c r="J37" s="158"/>
      <c r="K37" s="339"/>
    </row>
    <row r="38" spans="1:11" ht="12" customHeight="1" x14ac:dyDescent="0.2">
      <c r="A38" s="332" t="s">
        <v>458</v>
      </c>
      <c r="B38" s="666">
        <f>SUM(B39:B40)</f>
        <v>171000</v>
      </c>
      <c r="C38" s="667">
        <f>SUM(C39:C40)</f>
        <v>0</v>
      </c>
      <c r="D38" s="667">
        <f>SUM(D39:D40)</f>
        <v>0</v>
      </c>
      <c r="E38" s="667">
        <f>SUM(E39)</f>
        <v>0</v>
      </c>
      <c r="F38" s="668">
        <f t="shared" si="3"/>
        <v>171000</v>
      </c>
      <c r="G38" s="333">
        <f t="shared" si="5"/>
        <v>0.21183002560541889</v>
      </c>
      <c r="H38" s="334">
        <f t="shared" si="6"/>
        <v>2.0807793118990427E-2</v>
      </c>
      <c r="I38" s="158">
        <f t="shared" ref="I38:K38" si="13">SUM(I39)</f>
        <v>807251</v>
      </c>
      <c r="J38" s="158">
        <f t="shared" si="13"/>
        <v>0</v>
      </c>
      <c r="K38" s="158">
        <f t="shared" si="13"/>
        <v>8218074.7867939565</v>
      </c>
    </row>
    <row r="39" spans="1:11" ht="12" customHeight="1" x14ac:dyDescent="0.2">
      <c r="A39" s="165" t="s">
        <v>459</v>
      </c>
      <c r="B39" s="669">
        <f>ROUND(170734.59,-3)</f>
        <v>171000</v>
      </c>
      <c r="C39" s="670"/>
      <c r="D39" s="670"/>
      <c r="E39" s="670"/>
      <c r="F39" s="155">
        <f t="shared" si="3"/>
        <v>171000</v>
      </c>
      <c r="G39" s="335">
        <f t="shared" si="5"/>
        <v>0.21183002560541889</v>
      </c>
      <c r="H39" s="336">
        <f t="shared" si="6"/>
        <v>2.0807793118990427E-2</v>
      </c>
      <c r="I39" s="158">
        <v>807251</v>
      </c>
      <c r="J39" s="158"/>
      <c r="K39" s="339">
        <v>8218074.7867939565</v>
      </c>
    </row>
    <row r="40" spans="1:11" ht="12" customHeight="1" x14ac:dyDescent="0.2">
      <c r="A40" s="165" t="s">
        <v>592</v>
      </c>
      <c r="B40" s="669">
        <f>ROUND(170863.96,-3)-B39</f>
        <v>0</v>
      </c>
      <c r="C40" s="670">
        <f>ROUND(0.09,-3)</f>
        <v>0</v>
      </c>
      <c r="D40" s="670">
        <f>ROUND(0.09,-3)</f>
        <v>0</v>
      </c>
      <c r="E40" s="670"/>
      <c r="F40" s="155">
        <f t="shared" si="3"/>
        <v>0</v>
      </c>
      <c r="G40" s="335"/>
      <c r="H40" s="340"/>
      <c r="I40" s="158"/>
      <c r="J40" s="158"/>
      <c r="K40" s="158"/>
    </row>
    <row r="41" spans="1:11" ht="12" customHeight="1" thickBot="1" x14ac:dyDescent="0.25">
      <c r="A41" s="165" t="s">
        <v>593</v>
      </c>
      <c r="B41" s="673">
        <f>ROUND(4543.62,-3)</f>
        <v>5000</v>
      </c>
      <c r="C41" s="674">
        <f>ROUND(93.49,-3)</f>
        <v>0</v>
      </c>
      <c r="D41" s="674">
        <f>ROUND(93.49,-3)</f>
        <v>0</v>
      </c>
      <c r="E41" s="674"/>
      <c r="F41" s="675">
        <f t="shared" si="3"/>
        <v>5000</v>
      </c>
      <c r="G41" s="341"/>
      <c r="H41" s="342"/>
      <c r="I41" s="158"/>
      <c r="J41" s="158"/>
      <c r="K41" s="158"/>
    </row>
    <row r="43" spans="1:11" ht="12" customHeight="1" x14ac:dyDescent="0.2">
      <c r="A43" s="165" t="s">
        <v>493</v>
      </c>
      <c r="B43" s="867" t="s">
        <v>607</v>
      </c>
      <c r="C43" s="867"/>
      <c r="D43" s="867"/>
      <c r="E43" s="867"/>
      <c r="F43" s="867"/>
      <c r="G43" s="867"/>
      <c r="H43" s="867"/>
    </row>
    <row r="44" spans="1:11" ht="12" customHeight="1" x14ac:dyDescent="0.2">
      <c r="B44" s="867"/>
      <c r="C44" s="867"/>
      <c r="D44" s="867"/>
      <c r="E44" s="867"/>
      <c r="F44" s="867"/>
      <c r="G44" s="867"/>
      <c r="H44" s="867"/>
    </row>
    <row r="45" spans="1:11" s="725" customFormat="1" ht="12" customHeight="1" x14ac:dyDescent="0.2">
      <c r="A45" s="724"/>
      <c r="B45" s="867"/>
      <c r="C45" s="867"/>
      <c r="D45" s="867"/>
      <c r="E45" s="867"/>
      <c r="F45" s="867"/>
      <c r="G45" s="867"/>
      <c r="H45" s="867"/>
    </row>
    <row r="46" spans="1:11" ht="12" customHeight="1" x14ac:dyDescent="0.2">
      <c r="B46" s="867" t="s">
        <v>608</v>
      </c>
      <c r="C46" s="867"/>
      <c r="D46" s="867"/>
      <c r="E46" s="867"/>
      <c r="F46" s="867"/>
      <c r="G46" s="867"/>
      <c r="H46" s="867"/>
    </row>
    <row r="47" spans="1:11" ht="12" customHeight="1" x14ac:dyDescent="0.2">
      <c r="B47" s="867"/>
      <c r="C47" s="867"/>
      <c r="D47" s="867"/>
      <c r="E47" s="867"/>
      <c r="F47" s="867"/>
      <c r="G47" s="867"/>
      <c r="H47" s="867"/>
    </row>
    <row r="49" spans="2:2" ht="12" customHeight="1" x14ac:dyDescent="0.2">
      <c r="B49" s="659"/>
    </row>
  </sheetData>
  <sheetProtection algorithmName="SHA-512" hashValue="owIlE7Z3HE2UEzOscT3NdQzewbDXHjGVZGxJHKElvYVrFs7a3KIBWk8gzvdFVBwdKtXFpouPSpxpYVTOfuuMtg==" saltValue="up7URfOzVv/kNAD6UTJbIw==" spinCount="100000" sheet="1" objects="1" scenarios="1"/>
  <mergeCells count="4">
    <mergeCell ref="B1:F1"/>
    <mergeCell ref="G1:H1"/>
    <mergeCell ref="B46:H47"/>
    <mergeCell ref="B43:H4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GRI Content Index</vt:lpstr>
      <vt:lpstr>Economic Contributions</vt:lpstr>
      <vt:lpstr>Workforce Composition</vt:lpstr>
      <vt:lpstr>Local Employment</vt:lpstr>
      <vt:lpstr>Turnover</vt:lpstr>
      <vt:lpstr>Injuries</vt:lpstr>
      <vt:lpstr>Water</vt:lpstr>
      <vt:lpstr>Energy Use</vt:lpstr>
      <vt:lpstr>Greenhouse Gases</vt:lpstr>
      <vt:lpstr>Air Emissions</vt:lpstr>
      <vt:lpstr>Mine Waste</vt:lpstr>
      <vt:lpstr>Materials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Jesse Audet</dc:creator>
  <cp:keywords/>
  <dc:description/>
  <cp:lastModifiedBy>Jesse Audet</cp:lastModifiedBy>
  <cp:revision/>
  <dcterms:created xsi:type="dcterms:W3CDTF">2019-03-12T00:24:45Z</dcterms:created>
  <dcterms:modified xsi:type="dcterms:W3CDTF">2019-08-09T22:36:33Z</dcterms:modified>
  <cp:category/>
  <cp:contentStatus/>
</cp:coreProperties>
</file>